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Electricity" sheetId="1" r:id="rId1"/>
  </sheets>
  <calcPr calcId="152511"/>
</workbook>
</file>

<file path=xl/calcChain.xml><?xml version="1.0" encoding="utf-8"?>
<calcChain xmlns="http://schemas.openxmlformats.org/spreadsheetml/2006/main">
  <c r="D94" i="1" l="1"/>
  <c r="F88" i="1"/>
  <c r="I63" i="1"/>
  <c r="D100" i="1" l="1"/>
  <c r="C100" i="1"/>
  <c r="B100" i="1"/>
  <c r="C104" i="1"/>
  <c r="B104" i="1"/>
  <c r="D103" i="1"/>
  <c r="C103" i="1"/>
  <c r="B103" i="1"/>
  <c r="D102" i="1"/>
  <c r="D101" i="1"/>
  <c r="C101" i="1"/>
  <c r="B101" i="1"/>
  <c r="D104" i="1" l="1"/>
  <c r="B140" i="1"/>
  <c r="B139" i="1"/>
  <c r="B138" i="1"/>
  <c r="B144" i="1"/>
  <c r="B131" i="1"/>
  <c r="B132" i="1" s="1"/>
  <c r="B133" i="1" s="1"/>
  <c r="B124" i="1"/>
  <c r="C97" i="1"/>
  <c r="D97" i="1"/>
  <c r="E97" i="1"/>
  <c r="F97" i="1"/>
  <c r="B97" i="1"/>
  <c r="A95" i="1"/>
  <c r="C95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B95" i="1"/>
  <c r="C88" i="1"/>
  <c r="E88" i="1" s="1"/>
  <c r="C87" i="1"/>
  <c r="E87" i="1" s="1"/>
  <c r="C86" i="1"/>
  <c r="E86" i="1" s="1"/>
  <c r="C85" i="1"/>
  <c r="I96" i="1" s="1"/>
  <c r="I97" i="1" s="1"/>
  <c r="C84" i="1"/>
  <c r="E84" i="1" s="1"/>
  <c r="C83" i="1"/>
  <c r="E83" i="1" s="1"/>
  <c r="C82" i="1"/>
  <c r="E82" i="1" s="1"/>
  <c r="E81" i="1"/>
  <c r="C81" i="1"/>
  <c r="G96" i="1" s="1"/>
  <c r="G97" i="1" s="1"/>
  <c r="C80" i="1"/>
  <c r="E80" i="1" s="1"/>
  <c r="B37" i="1"/>
  <c r="B36" i="1"/>
  <c r="B50" i="1" a="1"/>
  <c r="B50" i="1" s="1"/>
  <c r="B48" i="1" a="1"/>
  <c r="B48" i="1" s="1"/>
  <c r="B49" i="1" a="1"/>
  <c r="B49" i="1" s="1"/>
  <c r="B56" i="1" s="1"/>
  <c r="B47" i="1" a="1"/>
  <c r="B47" i="1" s="1"/>
  <c r="L13" i="1"/>
  <c r="L15" i="1" s="1"/>
  <c r="L16" i="1" s="1"/>
  <c r="K13" i="1"/>
  <c r="K15" i="1" s="1"/>
  <c r="K16" i="1" s="1"/>
  <c r="O9" i="1"/>
  <c r="O10" i="1"/>
  <c r="O11" i="1"/>
  <c r="O12" i="1"/>
  <c r="O6" i="1"/>
  <c r="O7" i="1"/>
  <c r="O8" i="1"/>
  <c r="O5" i="1"/>
  <c r="L14" i="1" l="1"/>
  <c r="B55" i="1"/>
  <c r="K96" i="1"/>
  <c r="K97" i="1" s="1"/>
  <c r="B57" i="1"/>
  <c r="B98" i="1" s="1"/>
  <c r="C90" i="1"/>
  <c r="K14" i="1"/>
  <c r="C89" i="1"/>
  <c r="E89" i="1" s="1"/>
  <c r="J96" i="1"/>
  <c r="J97" i="1" s="1"/>
  <c r="E85" i="1"/>
  <c r="H96" i="1"/>
  <c r="H97" i="1" s="1"/>
  <c r="E50" i="1"/>
  <c r="H50" i="1"/>
  <c r="I54" i="1" s="1"/>
  <c r="J54" i="1" s="1"/>
  <c r="D50" i="1"/>
  <c r="G50" i="1"/>
  <c r="C50" i="1"/>
  <c r="F50" i="1"/>
  <c r="E48" i="1"/>
  <c r="D48" i="1"/>
  <c r="G48" i="1"/>
  <c r="C48" i="1"/>
  <c r="H48" i="1"/>
  <c r="I52" i="1" s="1"/>
  <c r="F48" i="1"/>
  <c r="E49" i="1"/>
  <c r="E56" i="1" s="1"/>
  <c r="H49" i="1"/>
  <c r="D49" i="1"/>
  <c r="D56" i="1" s="1"/>
  <c r="G49" i="1"/>
  <c r="G56" i="1" s="1"/>
  <c r="C49" i="1"/>
  <c r="C56" i="1" s="1"/>
  <c r="F49" i="1"/>
  <c r="F56" i="1" s="1"/>
  <c r="D47" i="1"/>
  <c r="E47" i="1"/>
  <c r="H47" i="1"/>
  <c r="G47" i="1"/>
  <c r="C47" i="1"/>
  <c r="C55" i="1" s="1"/>
  <c r="F47" i="1"/>
  <c r="F55" i="1" s="1"/>
  <c r="F57" i="1" s="1"/>
  <c r="F98" i="1" s="1"/>
  <c r="C57" i="1" l="1"/>
  <c r="C98" i="1" s="1"/>
  <c r="D55" i="1"/>
  <c r="D57" i="1" s="1"/>
  <c r="D98" i="1" s="1"/>
  <c r="G55" i="1"/>
  <c r="G57" i="1" s="1"/>
  <c r="G98" i="1" s="1"/>
  <c r="H56" i="1"/>
  <c r="I53" i="1"/>
  <c r="E90" i="1"/>
  <c r="B93" i="1"/>
  <c r="L96" i="1" s="1"/>
  <c r="I51" i="1"/>
  <c r="H55" i="1"/>
  <c r="D81" i="1"/>
  <c r="D85" i="1"/>
  <c r="D80" i="1"/>
  <c r="J52" i="1"/>
  <c r="K52" i="1" s="1"/>
  <c r="D82" i="1"/>
  <c r="D86" i="1"/>
  <c r="D83" i="1"/>
  <c r="D87" i="1"/>
  <c r="D84" i="1"/>
  <c r="D88" i="1"/>
  <c r="E55" i="1"/>
  <c r="E57" i="1" s="1"/>
  <c r="E98" i="1" s="1"/>
  <c r="H57" i="1" l="1"/>
  <c r="H98" i="1" s="1"/>
  <c r="K54" i="1"/>
  <c r="L52" i="1"/>
  <c r="J51" i="1"/>
  <c r="I55" i="1"/>
  <c r="I57" i="1" s="1"/>
  <c r="I98" i="1" s="1"/>
  <c r="I56" i="1"/>
  <c r="J53" i="1"/>
  <c r="L97" i="1"/>
  <c r="M96" i="1"/>
  <c r="N96" i="1" l="1"/>
  <c r="M97" i="1"/>
  <c r="J55" i="1"/>
  <c r="J57" i="1" s="1"/>
  <c r="J98" i="1" s="1"/>
  <c r="K51" i="1"/>
  <c r="K53" i="1"/>
  <c r="J56" i="1"/>
  <c r="M52" i="1"/>
  <c r="N52" i="1" s="1"/>
  <c r="O52" i="1" s="1"/>
  <c r="P52" i="1" s="1"/>
  <c r="Q52" i="1" s="1"/>
  <c r="R52" i="1" s="1"/>
  <c r="S52" i="1" s="1"/>
  <c r="T52" i="1" s="1"/>
  <c r="U52" i="1" s="1"/>
  <c r="V52" i="1" s="1"/>
  <c r="W52" i="1" s="1"/>
  <c r="X52" i="1" s="1"/>
  <c r="Y52" i="1" s="1"/>
  <c r="Z52" i="1" s="1"/>
  <c r="L54" i="1"/>
  <c r="L53" i="1" l="1"/>
  <c r="K56" i="1"/>
  <c r="B58" i="1"/>
  <c r="B145" i="1"/>
  <c r="B146" i="1" s="1"/>
  <c r="M54" i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X54" i="1" s="1"/>
  <c r="Y54" i="1" s="1"/>
  <c r="Z54" i="1" s="1"/>
  <c r="L51" i="1"/>
  <c r="K55" i="1"/>
  <c r="K57" i="1" s="1"/>
  <c r="K98" i="1" s="1"/>
  <c r="O96" i="1"/>
  <c r="N97" i="1"/>
  <c r="M51" i="1" l="1"/>
  <c r="L55" i="1"/>
  <c r="P96" i="1"/>
  <c r="O97" i="1"/>
  <c r="M53" i="1"/>
  <c r="L56" i="1"/>
  <c r="Q96" i="1" l="1"/>
  <c r="P97" i="1"/>
  <c r="N53" i="1"/>
  <c r="M56" i="1"/>
  <c r="L57" i="1"/>
  <c r="L98" i="1" s="1"/>
  <c r="N51" i="1"/>
  <c r="M55" i="1"/>
  <c r="M57" i="1" l="1"/>
  <c r="M98" i="1" s="1"/>
  <c r="O51" i="1"/>
  <c r="N55" i="1"/>
  <c r="O53" i="1"/>
  <c r="N56" i="1"/>
  <c r="R96" i="1"/>
  <c r="Q97" i="1"/>
  <c r="P53" i="1" l="1"/>
  <c r="O56" i="1"/>
  <c r="S96" i="1"/>
  <c r="R97" i="1"/>
  <c r="N57" i="1"/>
  <c r="N98" i="1" s="1"/>
  <c r="P51" i="1"/>
  <c r="O55" i="1"/>
  <c r="O57" i="1" s="1"/>
  <c r="O98" i="1" s="1"/>
  <c r="T96" i="1" l="1"/>
  <c r="S97" i="1"/>
  <c r="Q51" i="1"/>
  <c r="P55" i="1"/>
  <c r="P57" i="1" s="1"/>
  <c r="P98" i="1" s="1"/>
  <c r="Q53" i="1"/>
  <c r="P56" i="1"/>
  <c r="R51" i="1" l="1"/>
  <c r="Q55" i="1"/>
  <c r="R53" i="1"/>
  <c r="Q56" i="1"/>
  <c r="U96" i="1"/>
  <c r="T97" i="1"/>
  <c r="V96" i="1" l="1"/>
  <c r="U97" i="1"/>
  <c r="Q57" i="1"/>
  <c r="Q98" i="1" s="1"/>
  <c r="S53" i="1"/>
  <c r="R56" i="1"/>
  <c r="S51" i="1"/>
  <c r="R55" i="1"/>
  <c r="R57" i="1" s="1"/>
  <c r="R98" i="1" s="1"/>
  <c r="T51" i="1" l="1"/>
  <c r="S55" i="1"/>
  <c r="W96" i="1"/>
  <c r="V97" i="1"/>
  <c r="T53" i="1"/>
  <c r="S56" i="1"/>
  <c r="X96" i="1" l="1"/>
  <c r="W97" i="1"/>
  <c r="U53" i="1"/>
  <c r="T56" i="1"/>
  <c r="S57" i="1"/>
  <c r="S98" i="1" s="1"/>
  <c r="U51" i="1"/>
  <c r="T55" i="1"/>
  <c r="T57" i="1" l="1"/>
  <c r="T98" i="1" s="1"/>
  <c r="V51" i="1"/>
  <c r="U55" i="1"/>
  <c r="V53" i="1"/>
  <c r="U56" i="1"/>
  <c r="Y96" i="1"/>
  <c r="X97" i="1"/>
  <c r="W53" i="1" l="1"/>
  <c r="V56" i="1"/>
  <c r="Z96" i="1"/>
  <c r="Y97" i="1"/>
  <c r="U57" i="1"/>
  <c r="U98" i="1" s="1"/>
  <c r="W51" i="1"/>
  <c r="V55" i="1"/>
  <c r="V57" i="1" s="1"/>
  <c r="V98" i="1" s="1"/>
  <c r="B125" i="1" l="1"/>
  <c r="B127" i="1" s="1"/>
  <c r="B135" i="1" s="1"/>
  <c r="B150" i="1"/>
  <c r="Z97" i="1"/>
  <c r="X51" i="1"/>
  <c r="W55" i="1"/>
  <c r="W57" i="1" s="1"/>
  <c r="W98" i="1" s="1"/>
  <c r="X53" i="1"/>
  <c r="W56" i="1"/>
  <c r="Y51" i="1" l="1"/>
  <c r="X55" i="1"/>
  <c r="Y53" i="1"/>
  <c r="X56" i="1"/>
  <c r="X57" i="1" l="1"/>
  <c r="X98" i="1" s="1"/>
  <c r="Z53" i="1"/>
  <c r="Z56" i="1" s="1"/>
  <c r="Y56" i="1"/>
  <c r="Z51" i="1"/>
  <c r="Z55" i="1" s="1"/>
  <c r="Z57" i="1" s="1"/>
  <c r="Y55" i="1"/>
  <c r="Y57" i="1" s="1"/>
  <c r="Y98" i="1" s="1"/>
  <c r="B148" i="1" l="1"/>
  <c r="B149" i="1" s="1"/>
  <c r="B151" i="1" s="1"/>
  <c r="Z98" i="1"/>
</calcChain>
</file>

<file path=xl/sharedStrings.xml><?xml version="1.0" encoding="utf-8"?>
<sst xmlns="http://schemas.openxmlformats.org/spreadsheetml/2006/main" count="104" uniqueCount="92">
  <si>
    <t>https://www.gov.uk/government/statistical-data-sets/regional-and-local-authority-electricity-consumption-statistics-2005-to-2011</t>
  </si>
  <si>
    <t>Sales 2005 (GWh)</t>
  </si>
  <si>
    <t>Number of MPANs (thousands)</t>
  </si>
  <si>
    <t>Average domestic consumption</t>
  </si>
  <si>
    <t>Average industrial and commercial consumption</t>
  </si>
  <si>
    <t>Sales  (GWh)</t>
  </si>
  <si>
    <t>Average domestic consumption per household</t>
  </si>
  <si>
    <t>1. Historic Data</t>
  </si>
  <si>
    <t>Year</t>
  </si>
  <si>
    <t>Year - 2005</t>
  </si>
  <si>
    <t>Annual Consumption Change kWh/yr</t>
  </si>
  <si>
    <t>Annual Consumption Change %</t>
  </si>
  <si>
    <t>2029 projection</t>
  </si>
  <si>
    <t>% change 2012-2029</t>
  </si>
  <si>
    <t>2. Projections</t>
  </si>
  <si>
    <t>Average Domestic Consumption</t>
  </si>
  <si>
    <t>Average Commercial Consumption</t>
  </si>
  <si>
    <t>Domestic Consumers (No.)</t>
  </si>
  <si>
    <t>Commerical Consumers (No.)</t>
  </si>
  <si>
    <t>Projected Average Domestic Consumption</t>
  </si>
  <si>
    <t>Projected Average Commerical Consumption</t>
  </si>
  <si>
    <t>Increase in housing numbers in 15 years</t>
  </si>
  <si>
    <t>Years</t>
  </si>
  <si>
    <t>Per Year</t>
  </si>
  <si>
    <t>Projected Commerical Consumers (No.)</t>
  </si>
  <si>
    <t>Projected Domestic Consumers (No.)</t>
  </si>
  <si>
    <t>Domestic Consumption (GWh)</t>
  </si>
  <si>
    <t>Commercial Consumption (GWh)</t>
  </si>
  <si>
    <t>Consumption (GWh)</t>
  </si>
  <si>
    <t>% increase in homes now to 2029</t>
  </si>
  <si>
    <t>3. Renewables</t>
  </si>
  <si>
    <t>http://tools.decc.gov.uk/en/content/cms/statistics/local_auth/interactive/domestic_solar/index.html</t>
  </si>
  <si>
    <t>Date</t>
  </si>
  <si>
    <t>Installs</t>
  </si>
  <si>
    <t>kWp</t>
  </si>
  <si>
    <t>% of homes</t>
  </si>
  <si>
    <t>GWh</t>
  </si>
  <si>
    <t>3a. Domestic installations</t>
  </si>
  <si>
    <t>kWp estimate</t>
  </si>
  <si>
    <t>http://www.bathnes.gov.uk/sites/default/files/draft_community_energy_strategy_2014-2017_for_consultation.pdf</t>
  </si>
  <si>
    <t>p9 average run rate of renewable electric install</t>
  </si>
  <si>
    <t>MW</t>
  </si>
  <si>
    <t>Annual domestic run rate</t>
  </si>
  <si>
    <t>Recent domestic run rate</t>
  </si>
  <si>
    <t>Total run rate</t>
  </si>
  <si>
    <t>Estimates and projections (MWp solar)</t>
  </si>
  <si>
    <t>Annual Yield (kWh/kWp)</t>
  </si>
  <si>
    <t>B&amp;NES renewable contribution as a % of annual consumption</t>
  </si>
  <si>
    <t>4. Statistics</t>
  </si>
  <si>
    <t>Total B&amp;NES Land Area</t>
  </si>
  <si>
    <t>km2</t>
  </si>
  <si>
    <t>Section 1.06</t>
  </si>
  <si>
    <t>http://www.bathnes.gov.uk/sites/default/files/sitedocuments/Planning-and-Building-Control/Planning-Policy/Core-Strategy/cs_adopted_core_strategy_pre-publication_version.pdf</t>
  </si>
  <si>
    <t>Land area in 2029 required for solar PV</t>
  </si>
  <si>
    <t>hectares</t>
  </si>
  <si>
    <t>% of land area</t>
  </si>
  <si>
    <t>Housing density dwellings/hectare</t>
  </si>
  <si>
    <t>% open space</t>
  </si>
  <si>
    <t>Net dwellings per hectare</t>
  </si>
  <si>
    <t>Hectares for new housing</t>
  </si>
  <si>
    <t>Wilmington farm hectare/MWp</t>
  </si>
  <si>
    <t>Secondary check of this data</t>
  </si>
  <si>
    <t>roof area for offset of 1 homes electric</t>
  </si>
  <si>
    <t>m2</t>
  </si>
  <si>
    <t>homes</t>
  </si>
  <si>
    <t>area</t>
  </si>
  <si>
    <t>but farm yield per area lower and missing commerical requirement</t>
  </si>
  <si>
    <t>- figures are close 240c259 i.e. same order of magnitude, so assume correct</t>
  </si>
  <si>
    <t>Implied solar requirement to offset all electric</t>
  </si>
  <si>
    <t>MWp</t>
  </si>
  <si>
    <t>B&amp;NES projection</t>
  </si>
  <si>
    <t>%</t>
  </si>
  <si>
    <t>- close to 18% previously calculated</t>
  </si>
  <si>
    <t>% solar PV v. housing</t>
  </si>
  <si>
    <t>5. Misc - data reality checks</t>
  </si>
  <si>
    <t>Gov 2030 solar pv prediction</t>
  </si>
  <si>
    <t>GW</t>
  </si>
  <si>
    <t>page xi</t>
  </si>
  <si>
    <t>https://www.gov.uk/government/uploads/system/uploads/attachment_data/file/66176/Renewables_Obligation_consultation_-_review_of_generation_costs_and_deployment_potential.pdf</t>
  </si>
  <si>
    <t>B&amp;NES population as % of national</t>
  </si>
  <si>
    <t>apprortioned PV</t>
  </si>
  <si>
    <t>B&amp;NES aspiration</t>
  </si>
  <si>
    <t>Comment: B&amp;NES aspiration for solar PV 2.5 times government, but government 16.6GW estimate is very poor as it assumes 2030 PV costs of £1.5M/MW, compared with current £1.0m/MW i.e. current prices are already below their 2030 projections</t>
  </si>
  <si>
    <t>Annual Renewables Production (GWh)</t>
  </si>
  <si>
    <t>Change</t>
  </si>
  <si>
    <t>Renewables production (GWh)</t>
  </si>
  <si>
    <t>Electricity carbon emissions (g/kWh)</t>
  </si>
  <si>
    <t>https://www.gov.uk/government/uploads/system/uploads/attachment_data/file/239937/uep_2013.pdf</t>
  </si>
  <si>
    <t>Net electricity B&amp;NES  consumption GWh</t>
  </si>
  <si>
    <t>Carbon Mte</t>
  </si>
  <si>
    <t>p35</t>
  </si>
  <si>
    <t>Consumption GWh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</si>
</sst>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.0"/>
    <numFmt numFmtId="165" formatCode="0.0%"/>
    <numFmt numFmtId="170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6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4" fillId="0" borderId="0" xfId="2"/>
    <xf numFmtId="0" fontId="0" fillId="0" borderId="0" xfId="0" applyAlignment="1">
      <alignment wrapText="1"/>
    </xf>
    <xf numFmtId="2" fontId="0" fillId="0" borderId="0" xfId="0" applyNumberFormat="1"/>
    <xf numFmtId="164" fontId="0" fillId="0" borderId="0" xfId="0" applyNumberFormat="1"/>
    <xf numFmtId="1" fontId="0" fillId="0" borderId="0" xfId="0" applyNumberFormat="1"/>
    <xf numFmtId="0" fontId="0" fillId="2" borderId="0" xfId="0" applyFill="1"/>
    <xf numFmtId="9" fontId="0" fillId="0" borderId="0" xfId="1" applyFont="1"/>
    <xf numFmtId="165" fontId="0" fillId="0" borderId="0" xfId="1" applyNumberFormat="1" applyFont="1"/>
    <xf numFmtId="3" fontId="0" fillId="0" borderId="0" xfId="0" applyNumberFormat="1"/>
    <xf numFmtId="17" fontId="0" fillId="0" borderId="0" xfId="0" applyNumberFormat="1"/>
    <xf numFmtId="164" fontId="2" fillId="0" borderId="0" xfId="0" applyNumberFormat="1" applyFont="1"/>
    <xf numFmtId="9" fontId="0" fillId="0" borderId="0" xfId="0" applyNumberFormat="1"/>
    <xf numFmtId="0" fontId="0" fillId="0" borderId="0" xfId="0" quotePrefix="1"/>
    <xf numFmtId="0" fontId="3" fillId="0" borderId="0" xfId="0" applyFont="1"/>
    <xf numFmtId="170" fontId="0" fillId="0" borderId="0" xfId="5" applyNumberFormat="1" applyFont="1"/>
    <xf numFmtId="9" fontId="4" fillId="0" borderId="0" xfId="2" applyNumberFormat="1"/>
  </cellXfs>
  <cellStyles count="6">
    <cellStyle name="Comma" xfId="5" builtinId="3"/>
    <cellStyle name="Comma 2" xfId="4"/>
    <cellStyle name="Hyperlink" xfId="2" builtinId="8"/>
    <cellStyle name="Normal" xfId="0" builtinId="0"/>
    <cellStyle name="Normal 6" xfId="3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Average Annual Domestic and Commercial Consumption</a:t>
            </a:r>
            <a:r>
              <a:rPr lang="en-GB" baseline="0"/>
              <a:t> KWh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Electricity!$K$4</c:f>
              <c:strCache>
                <c:ptCount val="1"/>
                <c:pt idx="0">
                  <c:v>Average domestic consumption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Electricity!$A$5:$A$12</c:f>
              <c:numCache>
                <c:formatCode>0</c:formatCode>
                <c:ptCount val="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</c:numCache>
            </c:numRef>
          </c:xVal>
          <c:yVal>
            <c:numRef>
              <c:f>Electricity!$K$5:$K$12</c:f>
              <c:numCache>
                <c:formatCode>0</c:formatCode>
                <c:ptCount val="8"/>
                <c:pt idx="0">
                  <c:v>4763</c:v>
                </c:pt>
                <c:pt idx="1">
                  <c:v>4656</c:v>
                </c:pt>
                <c:pt idx="2">
                  <c:v>4598</c:v>
                </c:pt>
                <c:pt idx="3">
                  <c:v>4352</c:v>
                </c:pt>
                <c:pt idx="4">
                  <c:v>4343</c:v>
                </c:pt>
                <c:pt idx="5">
                  <c:v>4299</c:v>
                </c:pt>
                <c:pt idx="6">
                  <c:v>4229.359378981665</c:v>
                </c:pt>
                <c:pt idx="7">
                  <c:v>4174.3249029901845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6874576"/>
        <c:axId val="616873400"/>
      </c:scatterChart>
      <c:scatterChart>
        <c:scatterStyle val="lineMarker"/>
        <c:varyColors val="0"/>
        <c:ser>
          <c:idx val="1"/>
          <c:order val="1"/>
          <c:tx>
            <c:strRef>
              <c:f>Electricity!$L$4</c:f>
              <c:strCache>
                <c:ptCount val="1"/>
                <c:pt idx="0">
                  <c:v>Average industrial and commercial consumption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3.9567585301837273E-2"/>
                  <c:y val="-7.165463692038495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Electricity!$A$5:$A$12</c:f>
              <c:numCache>
                <c:formatCode>0</c:formatCode>
                <c:ptCount val="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</c:numCache>
            </c:numRef>
          </c:xVal>
          <c:yVal>
            <c:numRef>
              <c:f>Electricity!$L$5:$L$12</c:f>
              <c:numCache>
                <c:formatCode>0</c:formatCode>
                <c:ptCount val="8"/>
                <c:pt idx="0">
                  <c:v>53593</c:v>
                </c:pt>
                <c:pt idx="1">
                  <c:v>50791</c:v>
                </c:pt>
                <c:pt idx="2">
                  <c:v>48260</c:v>
                </c:pt>
                <c:pt idx="3">
                  <c:v>47706</c:v>
                </c:pt>
                <c:pt idx="4">
                  <c:v>46978</c:v>
                </c:pt>
                <c:pt idx="5">
                  <c:v>46967</c:v>
                </c:pt>
                <c:pt idx="6">
                  <c:v>42928.638674884314</c:v>
                </c:pt>
                <c:pt idx="7">
                  <c:v>43045.331300523059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6873792"/>
        <c:axId val="616879280"/>
      </c:scatterChart>
      <c:valAx>
        <c:axId val="616874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73400"/>
        <c:crosses val="autoZero"/>
        <c:crossBetween val="midCat"/>
      </c:valAx>
      <c:valAx>
        <c:axId val="616873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74576"/>
        <c:crosses val="autoZero"/>
        <c:crossBetween val="midCat"/>
      </c:valAx>
      <c:valAx>
        <c:axId val="616879280"/>
        <c:scaling>
          <c:orientation val="minMax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73792"/>
        <c:crosses val="max"/>
        <c:crossBetween val="midCat"/>
      </c:valAx>
      <c:valAx>
        <c:axId val="616873792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616879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Average Annual Domestic and Commercial Consumption</a:t>
            </a:r>
            <a:r>
              <a:rPr lang="en-GB" baseline="0"/>
              <a:t> KWh with Projections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Electricity!$K$4</c:f>
              <c:strCache>
                <c:ptCount val="1"/>
                <c:pt idx="0">
                  <c:v>Average domestic consumption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forward val="17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Electricity!$A$5:$A$12</c:f>
              <c:numCache>
                <c:formatCode>0</c:formatCode>
                <c:ptCount val="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</c:numCache>
            </c:numRef>
          </c:xVal>
          <c:yVal>
            <c:numRef>
              <c:f>Electricity!$K$5:$K$12</c:f>
              <c:numCache>
                <c:formatCode>0</c:formatCode>
                <c:ptCount val="8"/>
                <c:pt idx="0">
                  <c:v>4763</c:v>
                </c:pt>
                <c:pt idx="1">
                  <c:v>4656</c:v>
                </c:pt>
                <c:pt idx="2">
                  <c:v>4598</c:v>
                </c:pt>
                <c:pt idx="3">
                  <c:v>4352</c:v>
                </c:pt>
                <c:pt idx="4">
                  <c:v>4343</c:v>
                </c:pt>
                <c:pt idx="5">
                  <c:v>4299</c:v>
                </c:pt>
                <c:pt idx="6">
                  <c:v>4229.359378981665</c:v>
                </c:pt>
                <c:pt idx="7">
                  <c:v>4174.3249029901845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6873008"/>
        <c:axId val="616874184"/>
      </c:scatterChart>
      <c:scatterChart>
        <c:scatterStyle val="lineMarker"/>
        <c:varyColors val="0"/>
        <c:ser>
          <c:idx val="1"/>
          <c:order val="1"/>
          <c:tx>
            <c:strRef>
              <c:f>Electricity!$L$4</c:f>
              <c:strCache>
                <c:ptCount val="1"/>
                <c:pt idx="0">
                  <c:v>Average industrial and commercial consumption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forward val="17"/>
            <c:dispRSqr val="0"/>
            <c:dispEq val="1"/>
            <c:trendlineLbl>
              <c:layout>
                <c:manualLayout>
                  <c:x val="3.9567585301837273E-2"/>
                  <c:y val="-7.165463692038495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Electricity!$A$5:$A$12</c:f>
              <c:numCache>
                <c:formatCode>0</c:formatCode>
                <c:ptCount val="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</c:numCache>
            </c:numRef>
          </c:xVal>
          <c:yVal>
            <c:numRef>
              <c:f>Electricity!$L$5:$L$12</c:f>
              <c:numCache>
                <c:formatCode>0</c:formatCode>
                <c:ptCount val="8"/>
                <c:pt idx="0">
                  <c:v>53593</c:v>
                </c:pt>
                <c:pt idx="1">
                  <c:v>50791</c:v>
                </c:pt>
                <c:pt idx="2">
                  <c:v>48260</c:v>
                </c:pt>
                <c:pt idx="3">
                  <c:v>47706</c:v>
                </c:pt>
                <c:pt idx="4">
                  <c:v>46978</c:v>
                </c:pt>
                <c:pt idx="5">
                  <c:v>46967</c:v>
                </c:pt>
                <c:pt idx="6">
                  <c:v>42928.638674884314</c:v>
                </c:pt>
                <c:pt idx="7">
                  <c:v>43045.331300523059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6872616"/>
        <c:axId val="616877712"/>
      </c:scatterChart>
      <c:valAx>
        <c:axId val="61687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74184"/>
        <c:crosses val="autoZero"/>
        <c:crossBetween val="midCat"/>
      </c:valAx>
      <c:valAx>
        <c:axId val="616874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73008"/>
        <c:crosses val="autoZero"/>
        <c:crossBetween val="midCat"/>
      </c:valAx>
      <c:valAx>
        <c:axId val="616877712"/>
        <c:scaling>
          <c:orientation val="minMax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72616"/>
        <c:crosses val="max"/>
        <c:crossBetween val="midCat"/>
      </c:valAx>
      <c:valAx>
        <c:axId val="616872616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616877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Consumption (GWh) 2005 to 2029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cked"/>
        <c:varyColors val="0"/>
        <c:ser>
          <c:idx val="1"/>
          <c:order val="0"/>
          <c:tx>
            <c:strRef>
              <c:f>Electricity!$A$55</c:f>
              <c:strCache>
                <c:ptCount val="1"/>
                <c:pt idx="0">
                  <c:v>Domestic Consumption (GWh)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Electricity!$B$46:$Z$46</c:f>
              <c:numCache>
                <c:formatCode>General</c:formatCode>
                <c:ptCount val="2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</c:numCache>
            </c:numRef>
          </c:cat>
          <c:val>
            <c:numRef>
              <c:f>Electricity!$B$55:$Z$55</c:f>
              <c:numCache>
                <c:formatCode>#,##0</c:formatCode>
                <c:ptCount val="25"/>
                <c:pt idx="0">
                  <c:v>365.93176399999999</c:v>
                </c:pt>
                <c:pt idx="1">
                  <c:v>358.68427200000002</c:v>
                </c:pt>
                <c:pt idx="2">
                  <c:v>353.87127600000002</c:v>
                </c:pt>
                <c:pt idx="3">
                  <c:v>336.32691199999999</c:v>
                </c:pt>
                <c:pt idx="4">
                  <c:v>337.42938500000002</c:v>
                </c:pt>
                <c:pt idx="5">
                  <c:v>336.11731500000002</c:v>
                </c:pt>
                <c:pt idx="6">
                  <c:v>331.93704149999701</c:v>
                </c:pt>
                <c:pt idx="7">
                  <c:v>325.15908329233338</c:v>
                </c:pt>
                <c:pt idx="8">
                  <c:v>318.51952698539537</c:v>
                </c:pt>
                <c:pt idx="9">
                  <c:v>315.46100637934535</c:v>
                </c:pt>
                <c:pt idx="10">
                  <c:v>312.39458470190249</c:v>
                </c:pt>
                <c:pt idx="11">
                  <c:v>309.32185988057222</c:v>
                </c:pt>
                <c:pt idx="12">
                  <c:v>306.2443678797589</c:v>
                </c:pt>
                <c:pt idx="13">
                  <c:v>303.16358456500649</c:v>
                </c:pt>
                <c:pt idx="14">
                  <c:v>300.0809275169409</c:v>
                </c:pt>
                <c:pt idx="15">
                  <c:v>296.99775779619159</c:v>
                </c:pt>
                <c:pt idx="16">
                  <c:v>293.91538166053812</c:v>
                </c:pt>
                <c:pt idx="17">
                  <c:v>290.83505223549645</c:v>
                </c:pt>
                <c:pt idx="18">
                  <c:v>287.75797113953053</c:v>
                </c:pt>
                <c:pt idx="19">
                  <c:v>284.68529006504599</c:v>
                </c:pt>
                <c:pt idx="20">
                  <c:v>281.61811231629383</c:v>
                </c:pt>
                <c:pt idx="21">
                  <c:v>278.55749430528471</c:v>
                </c:pt>
                <c:pt idx="22">
                  <c:v>275.50444700678707</c:v>
                </c:pt>
                <c:pt idx="23">
                  <c:v>272.45993737345771</c:v>
                </c:pt>
                <c:pt idx="24">
                  <c:v>269.42488971212401</c:v>
                </c:pt>
              </c:numCache>
            </c:numRef>
          </c:val>
        </c:ser>
        <c:ser>
          <c:idx val="2"/>
          <c:order val="1"/>
          <c:tx>
            <c:strRef>
              <c:f>Electricity!$A$56</c:f>
              <c:strCache>
                <c:ptCount val="1"/>
                <c:pt idx="0">
                  <c:v>Commercial Consumption (GWh)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cat>
            <c:numRef>
              <c:f>Electricity!$B$46:$Z$46</c:f>
              <c:numCache>
                <c:formatCode>General</c:formatCode>
                <c:ptCount val="2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</c:numCache>
            </c:numRef>
          </c:cat>
          <c:val>
            <c:numRef>
              <c:f>Electricity!$B$56:$Z$56</c:f>
              <c:numCache>
                <c:formatCode>#,##0</c:formatCode>
                <c:ptCount val="25"/>
                <c:pt idx="0">
                  <c:v>463.15070600000001</c:v>
                </c:pt>
                <c:pt idx="1">
                  <c:v>428.87920400000002</c:v>
                </c:pt>
                <c:pt idx="2">
                  <c:v>408.71393999999998</c:v>
                </c:pt>
                <c:pt idx="3">
                  <c:v>404.83311600000002</c:v>
                </c:pt>
                <c:pt idx="4">
                  <c:v>395.366848</c:v>
                </c:pt>
                <c:pt idx="5">
                  <c:v>394.61673400000001</c:v>
                </c:pt>
                <c:pt idx="6">
                  <c:v>362.18892449999896</c:v>
                </c:pt>
                <c:pt idx="7">
                  <c:v>354.79324072079157</c:v>
                </c:pt>
                <c:pt idx="8">
                  <c:v>347.54857243339563</c:v>
                </c:pt>
                <c:pt idx="9">
                  <c:v>344.21130617392527</c:v>
                </c:pt>
                <c:pt idx="10">
                  <c:v>340.86541875986114</c:v>
                </c:pt>
                <c:pt idx="11">
                  <c:v>337.51265374968654</c:v>
                </c:pt>
                <c:pt idx="12">
                  <c:v>334.15468709162701</c:v>
                </c:pt>
                <c:pt idx="13">
                  <c:v>330.79312915779303</c:v>
                </c:pt>
                <c:pt idx="14">
                  <c:v>327.42952672344029</c:v>
                </c:pt>
                <c:pt idx="15">
                  <c:v>324.06536489274214</c:v>
                </c:pt>
                <c:pt idx="16">
                  <c:v>320.70206897243196</c:v>
                </c:pt>
                <c:pt idx="17">
                  <c:v>317.34100629464228</c:v>
                </c:pt>
                <c:pt idx="18">
                  <c:v>313.98348799023455</c:v>
                </c:pt>
                <c:pt idx="19">
                  <c:v>310.63077071388005</c:v>
                </c:pt>
                <c:pt idx="20">
                  <c:v>307.28405832212405</c:v>
                </c:pt>
                <c:pt idx="21">
                  <c:v>303.94450350563409</c:v>
                </c:pt>
                <c:pt idx="22">
                  <c:v>300.61320937680313</c:v>
                </c:pt>
                <c:pt idx="23">
                  <c:v>297.29123101385068</c:v>
                </c:pt>
                <c:pt idx="24">
                  <c:v>293.9795769625365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6874968"/>
        <c:axId val="616875360"/>
      </c:areaChart>
      <c:catAx>
        <c:axId val="616874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75360"/>
        <c:crosses val="autoZero"/>
        <c:auto val="1"/>
        <c:lblAlgn val="ctr"/>
        <c:lblOffset val="100"/>
        <c:noMultiLvlLbl val="0"/>
      </c:catAx>
      <c:valAx>
        <c:axId val="61687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74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Number of Solar PV Installations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Electricity!$B$79</c:f>
              <c:strCache>
                <c:ptCount val="1"/>
                <c:pt idx="0">
                  <c:v>Installs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Electricity!$A$80:$A$88</c:f>
              <c:numCache>
                <c:formatCode>mmm\-yy</c:formatCode>
                <c:ptCount val="9"/>
                <c:pt idx="0">
                  <c:v>40330</c:v>
                </c:pt>
                <c:pt idx="1">
                  <c:v>40513</c:v>
                </c:pt>
                <c:pt idx="2">
                  <c:v>40695</c:v>
                </c:pt>
                <c:pt idx="3">
                  <c:v>40878</c:v>
                </c:pt>
                <c:pt idx="4">
                  <c:v>41061</c:v>
                </c:pt>
                <c:pt idx="5">
                  <c:v>41244</c:v>
                </c:pt>
                <c:pt idx="6">
                  <c:v>41426</c:v>
                </c:pt>
                <c:pt idx="7">
                  <c:v>41518</c:v>
                </c:pt>
                <c:pt idx="8">
                  <c:v>41699</c:v>
                </c:pt>
              </c:numCache>
            </c:numRef>
          </c:xVal>
          <c:yVal>
            <c:numRef>
              <c:f>Electricity!$B$80:$B$88</c:f>
              <c:numCache>
                <c:formatCode>General</c:formatCode>
                <c:ptCount val="9"/>
                <c:pt idx="0">
                  <c:v>10</c:v>
                </c:pt>
                <c:pt idx="1">
                  <c:v>106</c:v>
                </c:pt>
                <c:pt idx="2">
                  <c:v>240</c:v>
                </c:pt>
                <c:pt idx="3">
                  <c:v>676</c:v>
                </c:pt>
                <c:pt idx="4">
                  <c:v>1158</c:v>
                </c:pt>
                <c:pt idx="5">
                  <c:v>1353</c:v>
                </c:pt>
                <c:pt idx="6">
                  <c:v>1456</c:v>
                </c:pt>
                <c:pt idx="7">
                  <c:v>1526</c:v>
                </c:pt>
                <c:pt idx="8">
                  <c:v>1606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6878104"/>
        <c:axId val="616878496"/>
      </c:scatterChart>
      <c:valAx>
        <c:axId val="616878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78496"/>
        <c:crosses val="autoZero"/>
        <c:crossBetween val="midCat"/>
      </c:valAx>
      <c:valAx>
        <c:axId val="616878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78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Consumption (GWh) 2005 to 2029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996034858820453E-2"/>
          <c:y val="0.17171296296296296"/>
          <c:w val="0.83209695730026179"/>
          <c:h val="0.57016878098571011"/>
        </c:manualLayout>
      </c:layout>
      <c:areaChart>
        <c:grouping val="stacked"/>
        <c:varyColors val="0"/>
        <c:ser>
          <c:idx val="1"/>
          <c:order val="0"/>
          <c:tx>
            <c:strRef>
              <c:f>Electricity!$A$55</c:f>
              <c:strCache>
                <c:ptCount val="1"/>
                <c:pt idx="0">
                  <c:v>Domestic Consumption (GWh)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Electricity!$B$46:$Z$46</c:f>
              <c:numCache>
                <c:formatCode>General</c:formatCode>
                <c:ptCount val="2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</c:numCache>
            </c:numRef>
          </c:cat>
          <c:val>
            <c:numRef>
              <c:f>Electricity!$B$55:$Z$55</c:f>
              <c:numCache>
                <c:formatCode>#,##0</c:formatCode>
                <c:ptCount val="25"/>
                <c:pt idx="0">
                  <c:v>365.93176399999999</c:v>
                </c:pt>
                <c:pt idx="1">
                  <c:v>358.68427200000002</c:v>
                </c:pt>
                <c:pt idx="2">
                  <c:v>353.87127600000002</c:v>
                </c:pt>
                <c:pt idx="3">
                  <c:v>336.32691199999999</c:v>
                </c:pt>
                <c:pt idx="4">
                  <c:v>337.42938500000002</c:v>
                </c:pt>
                <c:pt idx="5">
                  <c:v>336.11731500000002</c:v>
                </c:pt>
                <c:pt idx="6">
                  <c:v>331.93704149999701</c:v>
                </c:pt>
                <c:pt idx="7">
                  <c:v>325.15908329233338</c:v>
                </c:pt>
                <c:pt idx="8">
                  <c:v>318.51952698539537</c:v>
                </c:pt>
                <c:pt idx="9">
                  <c:v>315.46100637934535</c:v>
                </c:pt>
                <c:pt idx="10">
                  <c:v>312.39458470190249</c:v>
                </c:pt>
                <c:pt idx="11">
                  <c:v>309.32185988057222</c:v>
                </c:pt>
                <c:pt idx="12">
                  <c:v>306.2443678797589</c:v>
                </c:pt>
                <c:pt idx="13">
                  <c:v>303.16358456500649</c:v>
                </c:pt>
                <c:pt idx="14">
                  <c:v>300.0809275169409</c:v>
                </c:pt>
                <c:pt idx="15">
                  <c:v>296.99775779619159</c:v>
                </c:pt>
                <c:pt idx="16">
                  <c:v>293.91538166053812</c:v>
                </c:pt>
                <c:pt idx="17">
                  <c:v>290.83505223549645</c:v>
                </c:pt>
                <c:pt idx="18">
                  <c:v>287.75797113953053</c:v>
                </c:pt>
                <c:pt idx="19">
                  <c:v>284.68529006504599</c:v>
                </c:pt>
                <c:pt idx="20">
                  <c:v>281.61811231629383</c:v>
                </c:pt>
                <c:pt idx="21">
                  <c:v>278.55749430528471</c:v>
                </c:pt>
                <c:pt idx="22">
                  <c:v>275.50444700678707</c:v>
                </c:pt>
                <c:pt idx="23">
                  <c:v>272.45993737345771</c:v>
                </c:pt>
                <c:pt idx="24">
                  <c:v>269.42488971212401</c:v>
                </c:pt>
              </c:numCache>
            </c:numRef>
          </c:val>
        </c:ser>
        <c:ser>
          <c:idx val="2"/>
          <c:order val="1"/>
          <c:tx>
            <c:strRef>
              <c:f>Electricity!$A$56</c:f>
              <c:strCache>
                <c:ptCount val="1"/>
                <c:pt idx="0">
                  <c:v>Commercial Consumption (GWh)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cat>
            <c:numRef>
              <c:f>Electricity!$B$46:$Z$46</c:f>
              <c:numCache>
                <c:formatCode>General</c:formatCode>
                <c:ptCount val="2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</c:numCache>
            </c:numRef>
          </c:cat>
          <c:val>
            <c:numRef>
              <c:f>Electricity!$B$56:$Z$56</c:f>
              <c:numCache>
                <c:formatCode>#,##0</c:formatCode>
                <c:ptCount val="25"/>
                <c:pt idx="0">
                  <c:v>463.15070600000001</c:v>
                </c:pt>
                <c:pt idx="1">
                  <c:v>428.87920400000002</c:v>
                </c:pt>
                <c:pt idx="2">
                  <c:v>408.71393999999998</c:v>
                </c:pt>
                <c:pt idx="3">
                  <c:v>404.83311600000002</c:v>
                </c:pt>
                <c:pt idx="4">
                  <c:v>395.366848</c:v>
                </c:pt>
                <c:pt idx="5">
                  <c:v>394.61673400000001</c:v>
                </c:pt>
                <c:pt idx="6">
                  <c:v>362.18892449999896</c:v>
                </c:pt>
                <c:pt idx="7">
                  <c:v>354.79324072079157</c:v>
                </c:pt>
                <c:pt idx="8">
                  <c:v>347.54857243339563</c:v>
                </c:pt>
                <c:pt idx="9">
                  <c:v>344.21130617392527</c:v>
                </c:pt>
                <c:pt idx="10">
                  <c:v>340.86541875986114</c:v>
                </c:pt>
                <c:pt idx="11">
                  <c:v>337.51265374968654</c:v>
                </c:pt>
                <c:pt idx="12">
                  <c:v>334.15468709162701</c:v>
                </c:pt>
                <c:pt idx="13">
                  <c:v>330.79312915779303</c:v>
                </c:pt>
                <c:pt idx="14">
                  <c:v>327.42952672344029</c:v>
                </c:pt>
                <c:pt idx="15">
                  <c:v>324.06536489274214</c:v>
                </c:pt>
                <c:pt idx="16">
                  <c:v>320.70206897243196</c:v>
                </c:pt>
                <c:pt idx="17">
                  <c:v>317.34100629464228</c:v>
                </c:pt>
                <c:pt idx="18">
                  <c:v>313.98348799023455</c:v>
                </c:pt>
                <c:pt idx="19">
                  <c:v>310.63077071388005</c:v>
                </c:pt>
                <c:pt idx="20">
                  <c:v>307.28405832212405</c:v>
                </c:pt>
                <c:pt idx="21">
                  <c:v>303.94450350563409</c:v>
                </c:pt>
                <c:pt idx="22">
                  <c:v>300.61320937680313</c:v>
                </c:pt>
                <c:pt idx="23">
                  <c:v>297.29123101385068</c:v>
                </c:pt>
                <c:pt idx="24">
                  <c:v>293.9795769625365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6848312"/>
        <c:axId val="616852232"/>
      </c:areaChart>
      <c:areaChart>
        <c:grouping val="stacked"/>
        <c:varyColors val="0"/>
        <c:ser>
          <c:idx val="0"/>
          <c:order val="2"/>
          <c:tx>
            <c:strRef>
              <c:f>Electricity!$A$97</c:f>
              <c:strCache>
                <c:ptCount val="1"/>
                <c:pt idx="0">
                  <c:v>Annual Renewables Production (GWh)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  <a:effectLst/>
          </c:spPr>
          <c:cat>
            <c:numRef>
              <c:f>Electricity!$B$46:$Z$46</c:f>
              <c:numCache>
                <c:formatCode>General</c:formatCode>
                <c:ptCount val="2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</c:numCache>
            </c:numRef>
          </c:cat>
          <c:val>
            <c:numRef>
              <c:f>Electricity!$B$97:$Z$97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0.31535000000000002</c:v>
                </c:pt>
                <c:pt idx="6">
                  <c:v>3.4450499999999997</c:v>
                </c:pt>
                <c:pt idx="7">
                  <c:v>4.0251749999999999</c:v>
                </c:pt>
                <c:pt idx="8">
                  <c:v>4.5398500000000004</c:v>
                </c:pt>
                <c:pt idx="9">
                  <c:v>4.7778499999999999</c:v>
                </c:pt>
                <c:pt idx="10">
                  <c:v>11.331644230769232</c:v>
                </c:pt>
                <c:pt idx="11">
                  <c:v>17.885438461538463</c:v>
                </c:pt>
                <c:pt idx="12">
                  <c:v>24.439232692307691</c:v>
                </c:pt>
                <c:pt idx="13">
                  <c:v>30.993026923076922</c:v>
                </c:pt>
                <c:pt idx="14">
                  <c:v>37.546821153846153</c:v>
                </c:pt>
                <c:pt idx="15">
                  <c:v>44.100615384615381</c:v>
                </c:pt>
                <c:pt idx="16">
                  <c:v>50.654409615384608</c:v>
                </c:pt>
                <c:pt idx="17">
                  <c:v>57.20820384615385</c:v>
                </c:pt>
                <c:pt idx="18">
                  <c:v>63.761998076923085</c:v>
                </c:pt>
                <c:pt idx="19">
                  <c:v>70.31579230769232</c:v>
                </c:pt>
                <c:pt idx="20">
                  <c:v>76.869586538461562</c:v>
                </c:pt>
                <c:pt idx="21">
                  <c:v>83.423380769230789</c:v>
                </c:pt>
                <c:pt idx="22">
                  <c:v>89.977175000000031</c:v>
                </c:pt>
                <c:pt idx="23">
                  <c:v>96.530969230769259</c:v>
                </c:pt>
                <c:pt idx="24">
                  <c:v>103.0847634615385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6849096"/>
        <c:axId val="616854976"/>
      </c:areaChart>
      <c:catAx>
        <c:axId val="616848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52232"/>
        <c:crosses val="autoZero"/>
        <c:auto val="1"/>
        <c:lblAlgn val="ctr"/>
        <c:lblOffset val="100"/>
        <c:noMultiLvlLbl val="0"/>
      </c:catAx>
      <c:valAx>
        <c:axId val="616852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48312"/>
        <c:crosses val="autoZero"/>
        <c:crossBetween val="midCat"/>
      </c:valAx>
      <c:valAx>
        <c:axId val="616854976"/>
        <c:scaling>
          <c:orientation val="minMax"/>
          <c:max val="900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49096"/>
        <c:crosses val="max"/>
        <c:crossBetween val="midCat"/>
      </c:valAx>
      <c:catAx>
        <c:axId val="616849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168549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Electricity!$A$98</c:f>
              <c:strCache>
                <c:ptCount val="1"/>
                <c:pt idx="0">
                  <c:v>B&amp;NES renewable contribution as a % of annual consumption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Electricity!$B$95:$Z$95</c:f>
              <c:numCache>
                <c:formatCode>General</c:formatCode>
                <c:ptCount val="2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</c:numCache>
            </c:numRef>
          </c:xVal>
          <c:yVal>
            <c:numRef>
              <c:f>Electricity!$B$98:$Z$98</c:f>
              <c:numCache>
                <c:formatCode>0%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4.3155235537683286E-4</c:v>
                </c:pt>
                <c:pt idx="6">
                  <c:v>4.9631481442087696E-3</c:v>
                </c:pt>
                <c:pt idx="7">
                  <c:v>5.9197900468126096E-3</c:v>
                </c:pt>
                <c:pt idx="8">
                  <c:v>6.8158946569599407E-3</c:v>
                </c:pt>
                <c:pt idx="9">
                  <c:v>7.242762670313185E-3</c:v>
                </c:pt>
                <c:pt idx="10">
                  <c:v>1.7346300356244741E-2</c:v>
                </c:pt>
                <c:pt idx="11">
                  <c:v>2.7650717586418211E-2</c:v>
                </c:pt>
                <c:pt idx="12">
                  <c:v>3.8162505866595441E-2</c:v>
                </c:pt>
                <c:pt idx="13">
                  <c:v>4.8888238348444656E-2</c:v>
                </c:pt>
                <c:pt idx="14">
                  <c:v>5.983457470728136E-2</c:v>
                </c:pt>
                <c:pt idx="15">
                  <c:v>7.1008265945140744E-2</c:v>
                </c:pt>
                <c:pt idx="16">
                  <c:v>8.2416159129906977E-2</c:v>
                </c:pt>
                <c:pt idx="17">
                  <c:v>9.4065202080490712E-2</c:v>
                </c:pt>
                <c:pt idx="18">
                  <c:v>0.10596244800738062</c:v>
                </c:pt>
                <c:pt idx="19">
                  <c:v>0.11811506011729202</c:v>
                </c:pt>
                <c:pt idx="20">
                  <c:v>0.13053031619008754</c:v>
                </c:pt>
                <c:pt idx="21">
                  <c:v>0.14321561313564829</c:v>
                </c:pt>
                <c:pt idx="22">
                  <c:v>0.15617847153792402</c:v>
                </c:pt>
                <c:pt idx="23">
                  <c:v>0.1694265401929794</c:v>
                </c:pt>
                <c:pt idx="24">
                  <c:v>0.18296760064748491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6856936"/>
        <c:axId val="616850664"/>
      </c:scatterChart>
      <c:valAx>
        <c:axId val="616856936"/>
        <c:scaling>
          <c:orientation val="minMax"/>
          <c:max val="2029"/>
          <c:min val="200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50664"/>
        <c:crosses val="autoZero"/>
        <c:crossBetween val="midCat"/>
      </c:valAx>
      <c:valAx>
        <c:axId val="616850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8569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Average Annual Domestic Per Household and Commercial Per Building Consumption</a:t>
            </a:r>
            <a:r>
              <a:rPr lang="en-GB" baseline="0"/>
              <a:t> KWh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Electricity!$K$4</c:f>
              <c:strCache>
                <c:ptCount val="1"/>
                <c:pt idx="0">
                  <c:v>Average domestic consumption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Electricity!$A$5:$A$12</c:f>
              <c:numCache>
                <c:formatCode>0</c:formatCode>
                <c:ptCount val="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</c:numCache>
            </c:numRef>
          </c:xVal>
          <c:yVal>
            <c:numRef>
              <c:f>Electricity!$K$5:$K$12</c:f>
              <c:numCache>
                <c:formatCode>0</c:formatCode>
                <c:ptCount val="8"/>
                <c:pt idx="0">
                  <c:v>4763</c:v>
                </c:pt>
                <c:pt idx="1">
                  <c:v>4656</c:v>
                </c:pt>
                <c:pt idx="2">
                  <c:v>4598</c:v>
                </c:pt>
                <c:pt idx="3">
                  <c:v>4352</c:v>
                </c:pt>
                <c:pt idx="4">
                  <c:v>4343</c:v>
                </c:pt>
                <c:pt idx="5">
                  <c:v>4299</c:v>
                </c:pt>
                <c:pt idx="6">
                  <c:v>4229.359378981665</c:v>
                </c:pt>
                <c:pt idx="7">
                  <c:v>4174.3249029901845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493560"/>
        <c:axId val="292494344"/>
      </c:scatterChart>
      <c:scatterChart>
        <c:scatterStyle val="lineMarker"/>
        <c:varyColors val="0"/>
        <c:ser>
          <c:idx val="1"/>
          <c:order val="1"/>
          <c:tx>
            <c:strRef>
              <c:f>Electricity!$L$4</c:f>
              <c:strCache>
                <c:ptCount val="1"/>
                <c:pt idx="0">
                  <c:v>Average industrial and commercial consumption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Electricity!$A$5:$A$12</c:f>
              <c:numCache>
                <c:formatCode>0</c:formatCode>
                <c:ptCount val="8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</c:numCache>
            </c:numRef>
          </c:xVal>
          <c:yVal>
            <c:numRef>
              <c:f>Electricity!$L$5:$L$12</c:f>
              <c:numCache>
                <c:formatCode>0</c:formatCode>
                <c:ptCount val="8"/>
                <c:pt idx="0">
                  <c:v>53593</c:v>
                </c:pt>
                <c:pt idx="1">
                  <c:v>50791</c:v>
                </c:pt>
                <c:pt idx="2">
                  <c:v>48260</c:v>
                </c:pt>
                <c:pt idx="3">
                  <c:v>47706</c:v>
                </c:pt>
                <c:pt idx="4">
                  <c:v>46978</c:v>
                </c:pt>
                <c:pt idx="5">
                  <c:v>46967</c:v>
                </c:pt>
                <c:pt idx="6">
                  <c:v>42928.638674884314</c:v>
                </c:pt>
                <c:pt idx="7">
                  <c:v>43045.331300523059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495520"/>
        <c:axId val="292495128"/>
      </c:scatterChart>
      <c:valAx>
        <c:axId val="292493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494344"/>
        <c:crosses val="autoZero"/>
        <c:crossBetween val="midCat"/>
      </c:valAx>
      <c:valAx>
        <c:axId val="29249434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493560"/>
        <c:crosses val="autoZero"/>
        <c:crossBetween val="midCat"/>
      </c:valAx>
      <c:valAx>
        <c:axId val="292495128"/>
        <c:scaling>
          <c:orientation val="minMax"/>
        </c:scaling>
        <c:delete val="0"/>
        <c:axPos val="r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2495520"/>
        <c:crosses val="max"/>
        <c:crossBetween val="midCat"/>
      </c:valAx>
      <c:valAx>
        <c:axId val="292495520"/>
        <c:scaling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292495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B&amp;NES Annual Renewables Production (GWh)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Electricity!$A$97</c:f>
              <c:strCache>
                <c:ptCount val="1"/>
                <c:pt idx="0">
                  <c:v>Annual Renewables Production (GWh)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Electricity!$B$95:$Z$95</c:f>
              <c:numCache>
                <c:formatCode>General</c:formatCode>
                <c:ptCount val="2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  <c:pt idx="15">
                  <c:v>2020</c:v>
                </c:pt>
                <c:pt idx="16">
                  <c:v>2021</c:v>
                </c:pt>
                <c:pt idx="17">
                  <c:v>2022</c:v>
                </c:pt>
                <c:pt idx="18">
                  <c:v>2023</c:v>
                </c:pt>
                <c:pt idx="19">
                  <c:v>2024</c:v>
                </c:pt>
                <c:pt idx="20">
                  <c:v>2025</c:v>
                </c:pt>
                <c:pt idx="21">
                  <c:v>2026</c:v>
                </c:pt>
                <c:pt idx="22">
                  <c:v>2027</c:v>
                </c:pt>
                <c:pt idx="23">
                  <c:v>2028</c:v>
                </c:pt>
                <c:pt idx="24">
                  <c:v>2029</c:v>
                </c:pt>
              </c:numCache>
            </c:numRef>
          </c:xVal>
          <c:yVal>
            <c:numRef>
              <c:f>Electricity!$B$97:$Z$97</c:f>
              <c:numCache>
                <c:formatCode>0.0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0.31535000000000002</c:v>
                </c:pt>
                <c:pt idx="6">
                  <c:v>3.4450499999999997</c:v>
                </c:pt>
                <c:pt idx="7">
                  <c:v>4.0251749999999999</c:v>
                </c:pt>
                <c:pt idx="8">
                  <c:v>4.5398500000000004</c:v>
                </c:pt>
                <c:pt idx="9">
                  <c:v>4.7778499999999999</c:v>
                </c:pt>
                <c:pt idx="10">
                  <c:v>11.331644230769232</c:v>
                </c:pt>
                <c:pt idx="11">
                  <c:v>17.885438461538463</c:v>
                </c:pt>
                <c:pt idx="12">
                  <c:v>24.439232692307691</c:v>
                </c:pt>
                <c:pt idx="13">
                  <c:v>30.993026923076922</c:v>
                </c:pt>
                <c:pt idx="14">
                  <c:v>37.546821153846153</c:v>
                </c:pt>
                <c:pt idx="15">
                  <c:v>44.100615384615381</c:v>
                </c:pt>
                <c:pt idx="16">
                  <c:v>50.654409615384608</c:v>
                </c:pt>
                <c:pt idx="17">
                  <c:v>57.20820384615385</c:v>
                </c:pt>
                <c:pt idx="18">
                  <c:v>63.761998076923085</c:v>
                </c:pt>
                <c:pt idx="19">
                  <c:v>70.31579230769232</c:v>
                </c:pt>
                <c:pt idx="20">
                  <c:v>76.869586538461562</c:v>
                </c:pt>
                <c:pt idx="21">
                  <c:v>83.423380769230789</c:v>
                </c:pt>
                <c:pt idx="22">
                  <c:v>89.977175000000031</c:v>
                </c:pt>
                <c:pt idx="23">
                  <c:v>96.530969230769259</c:v>
                </c:pt>
                <c:pt idx="24">
                  <c:v>103.0847634615385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082600"/>
        <c:axId val="617077896"/>
      </c:scatterChart>
      <c:valAx>
        <c:axId val="617082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7077896"/>
        <c:crosses val="autoZero"/>
        <c:crossBetween val="midCat"/>
      </c:valAx>
      <c:valAx>
        <c:axId val="617077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70826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297180</xdr:colOff>
      <xdr:row>17</xdr:row>
      <xdr:rowOff>80010</xdr:rowOff>
    </xdr:from>
    <xdr:to>
      <xdr:col>9</xdr:col>
      <xdr:colOff>601980</xdr:colOff>
      <xdr:row>32</xdr:row>
      <xdr:rowOff>80010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60960</xdr:colOff>
      <xdr:row>16</xdr:row>
      <xdr:rowOff>114300</xdr:rowOff>
    </xdr:from>
    <xdr:to>
      <xdr:col>18</xdr:col>
      <xdr:colOff>365760</xdr:colOff>
      <xdr:row>40</xdr:row>
      <xdr:rowOff>106680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441960</xdr:colOff>
      <xdr:row>59</xdr:row>
      <xdr:rowOff>41910</xdr:rowOff>
    </xdr:from>
    <xdr:to>
      <xdr:col>5</xdr:col>
      <xdr:colOff>114300</xdr:colOff>
      <xdr:row>74</xdr:row>
      <xdr:rowOff>41910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350520</xdr:colOff>
      <xdr:row>77</xdr:row>
      <xdr:rowOff>3810</xdr:rowOff>
    </xdr:from>
    <xdr:to>
      <xdr:col>14</xdr:col>
      <xdr:colOff>45720</xdr:colOff>
      <xdr:row>92</xdr:row>
      <xdr:rowOff>3810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104</xdr:row>
      <xdr:rowOff>175260</xdr:rowOff>
    </xdr:from>
    <xdr:to>
      <xdr:col>6</xdr:col>
      <xdr:colOff>228600</xdr:colOff>
      <xdr:row>119</xdr:row>
      <xdr:rowOff>175260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281940</xdr:colOff>
      <xdr:row>104</xdr:row>
      <xdr:rowOff>41910</xdr:rowOff>
    </xdr:from>
    <xdr:to>
      <xdr:col>14</xdr:col>
      <xdr:colOff>281940</xdr:colOff>
      <xdr:row>119</xdr:row>
      <xdr:rowOff>41910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182880</xdr:colOff>
      <xdr:row>114</xdr:row>
      <xdr:rowOff>83820</xdr:rowOff>
    </xdr:from>
    <xdr:to>
      <xdr:col>5</xdr:col>
      <xdr:colOff>190500</xdr:colOff>
      <xdr:row>115</xdr:row>
      <xdr:rowOff>15240</xdr:rowOff>
    </xdr:to>
    <xdr:cxnSp macro="">
      <xdr:nvCxnSpPr>
        <xdr:cNvPr id="9" name="Straight Arrow Connector 8"/>
        <xdr:cNvCxnSpPr/>
      </xdr:nvCxnSpPr>
      <xdr:spPr>
        <a:xfrm>
          <a:off x="4777740" y="20513040"/>
          <a:ext cx="617220" cy="114300"/>
        </a:xfrm>
        <a:prstGeom prst="straightConnector1">
          <a:avLst/>
        </a:prstGeom>
        <a:ln w="28575"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362096</xdr:colOff>
      <xdr:row>113</xdr:row>
      <xdr:rowOff>79825</xdr:rowOff>
    </xdr:from>
    <xdr:ext cx="495007" cy="311496"/>
    <xdr:sp macro="" textlink="">
      <xdr:nvSpPr>
        <xdr:cNvPr id="10" name="Rectangle 9"/>
        <xdr:cNvSpPr/>
      </xdr:nvSpPr>
      <xdr:spPr>
        <a:xfrm>
          <a:off x="4347356" y="20326165"/>
          <a:ext cx="495007" cy="311496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1400" b="0" cap="none" spc="0">
              <a:ln w="0"/>
              <a:solidFill>
                <a:srgbClr val="00B05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18%</a:t>
          </a:r>
        </a:p>
      </xdr:txBody>
    </xdr:sp>
    <xdr:clientData/>
  </xdr:oneCellAnchor>
  <xdr:twoCellAnchor>
    <xdr:from>
      <xdr:col>0</xdr:col>
      <xdr:colOff>0</xdr:colOff>
      <xdr:row>17</xdr:row>
      <xdr:rowOff>0</xdr:rowOff>
    </xdr:from>
    <xdr:to>
      <xdr:col>3</xdr:col>
      <xdr:colOff>586740</xdr:colOff>
      <xdr:row>32</xdr:row>
      <xdr:rowOff>0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464820</xdr:colOff>
      <xdr:row>103</xdr:row>
      <xdr:rowOff>160020</xdr:rowOff>
    </xdr:from>
    <xdr:to>
      <xdr:col>22</xdr:col>
      <xdr:colOff>160020</xdr:colOff>
      <xdr:row>118</xdr:row>
      <xdr:rowOff>160020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www.bathnes.gov.uk/sites/default/files/draft_community_energy_strategy_2014-2017_for_consultation.pdf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tools.decc.gov.uk/en/content/cms/statistics/local_auth/interactive/domestic_solar/index.html" TargetMode="External"/><Relationship Id="rId1" Type="http://schemas.openxmlformats.org/officeDocument/2006/relationships/hyperlink" Target="https://www.gov.uk/government/statistical-data-sets/regional-and-local-authority-electricity-consumption-statistics-2005-to-2011" TargetMode="External"/><Relationship Id="rId6" Type="http://schemas.openxmlformats.org/officeDocument/2006/relationships/hyperlink" Target="https://www.gov.uk/government/uploads/system/uploads/attachment_data/file/239937/uep_2013.pdf" TargetMode="External"/><Relationship Id="rId5" Type="http://schemas.openxmlformats.org/officeDocument/2006/relationships/hyperlink" Target="https://www.gov.uk/government/uploads/system/uploads/attachment_data/file/66176/Renewables_Obligation_consultation_-_review_of_generation_costs_and_deployment_potential.pdf" TargetMode="External"/><Relationship Id="rId4" Type="http://schemas.openxmlformats.org/officeDocument/2006/relationships/hyperlink" Target="http://www.bathnes.gov.uk/sites/default/files/sitedocuments/Planning-and-Building-Control/Planning-Policy/Core-Strategy/cs_adopted_core_strategy_pre-publication_versi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51"/>
  <sheetViews>
    <sheetView tabSelected="1" topLeftCell="A116" workbookViewId="0">
      <selection activeCell="F133" sqref="F133"/>
    </sheetView>
  </sheetViews>
  <sheetFormatPr defaultRowHeight="14.4" x14ac:dyDescent="0.3"/>
  <cols>
    <col min="1" max="1" width="34.77734375" customWidth="1"/>
    <col min="2" max="2" width="14.44140625" customWidth="1"/>
    <col min="27" max="27" width="10" bestFit="1" customWidth="1"/>
  </cols>
  <sheetData>
    <row r="1" spans="1:15" s="6" customFormat="1" x14ac:dyDescent="0.3">
      <c r="A1" s="6" t="s">
        <v>7</v>
      </c>
    </row>
    <row r="2" spans="1:15" x14ac:dyDescent="0.3">
      <c r="A2" s="1" t="s">
        <v>0</v>
      </c>
    </row>
    <row r="4" spans="1:15" ht="53.4" customHeight="1" x14ac:dyDescent="0.3">
      <c r="A4" t="s">
        <v>8</v>
      </c>
      <c r="B4" s="2" t="s">
        <v>1</v>
      </c>
      <c r="C4" s="2" t="s">
        <v>2</v>
      </c>
      <c r="D4" s="2"/>
      <c r="E4" s="2" t="s">
        <v>5</v>
      </c>
      <c r="F4" s="2" t="s">
        <v>2</v>
      </c>
      <c r="G4" s="2"/>
      <c r="H4" s="2" t="s">
        <v>5</v>
      </c>
      <c r="I4" s="2" t="s">
        <v>2</v>
      </c>
      <c r="J4" s="2"/>
      <c r="K4" s="2" t="s">
        <v>3</v>
      </c>
      <c r="L4" s="2" t="s">
        <v>4</v>
      </c>
      <c r="N4" s="2" t="s">
        <v>6</v>
      </c>
      <c r="O4" s="2" t="s">
        <v>9</v>
      </c>
    </row>
    <row r="5" spans="1:15" x14ac:dyDescent="0.3">
      <c r="A5" s="5">
        <v>2005</v>
      </c>
      <c r="B5" s="5">
        <v>365.9414086999999</v>
      </c>
      <c r="C5" s="5">
        <v>76.828000000000003</v>
      </c>
      <c r="D5" s="5"/>
      <c r="E5" s="5">
        <v>463.14698569999979</v>
      </c>
      <c r="F5" s="5">
        <v>8.6419999999999995</v>
      </c>
      <c r="G5" s="5"/>
      <c r="H5" s="5">
        <v>829.08839439999974</v>
      </c>
      <c r="I5" s="5">
        <v>85.47</v>
      </c>
      <c r="J5" s="5"/>
      <c r="K5" s="5">
        <v>4763</v>
      </c>
      <c r="L5" s="5">
        <v>53593</v>
      </c>
      <c r="M5" s="5"/>
      <c r="N5" s="5"/>
      <c r="O5" s="5">
        <f>A5-2005</f>
        <v>0</v>
      </c>
    </row>
    <row r="6" spans="1:15" x14ac:dyDescent="0.3">
      <c r="A6" s="5">
        <v>2006</v>
      </c>
      <c r="B6" s="5">
        <v>358.67957334999988</v>
      </c>
      <c r="C6" s="5">
        <v>77.037000000000006</v>
      </c>
      <c r="D6" s="5"/>
      <c r="E6" s="5">
        <v>428.87750454999997</v>
      </c>
      <c r="F6" s="5">
        <v>8.4440000000000008</v>
      </c>
      <c r="G6" s="5"/>
      <c r="H6" s="5">
        <v>787.55707789999985</v>
      </c>
      <c r="I6" s="5">
        <v>85.481000000000009</v>
      </c>
      <c r="J6" s="5"/>
      <c r="K6" s="5">
        <v>4656</v>
      </c>
      <c r="L6" s="5">
        <v>50791</v>
      </c>
      <c r="M6" s="5"/>
      <c r="N6" s="5"/>
      <c r="O6" s="5">
        <f t="shared" ref="O6:O12" si="0">A6-2005</f>
        <v>1</v>
      </c>
    </row>
    <row r="7" spans="1:15" x14ac:dyDescent="0.3">
      <c r="A7" s="5">
        <v>2007</v>
      </c>
      <c r="B7" s="5">
        <v>353.83528300000012</v>
      </c>
      <c r="C7" s="5">
        <v>76.962000000000003</v>
      </c>
      <c r="D7" s="5"/>
      <c r="E7" s="5">
        <v>408.71197079999996</v>
      </c>
      <c r="F7" s="5">
        <v>8.4689999999999994</v>
      </c>
      <c r="G7" s="5"/>
      <c r="H7" s="5">
        <v>762.54725380000002</v>
      </c>
      <c r="I7" s="5">
        <v>85.430999999999997</v>
      </c>
      <c r="J7" s="5"/>
      <c r="K7" s="5">
        <v>4598</v>
      </c>
      <c r="L7" s="5">
        <v>48260</v>
      </c>
      <c r="M7" s="5"/>
      <c r="N7" s="5">
        <v>4828</v>
      </c>
      <c r="O7" s="5">
        <f t="shared" si="0"/>
        <v>2</v>
      </c>
    </row>
    <row r="8" spans="1:15" x14ac:dyDescent="0.3">
      <c r="A8" s="5">
        <v>2008</v>
      </c>
      <c r="B8" s="5">
        <v>336.32207980000004</v>
      </c>
      <c r="C8" s="5">
        <v>77.281000000000006</v>
      </c>
      <c r="D8" s="5"/>
      <c r="E8" s="5">
        <v>404.83425446000001</v>
      </c>
      <c r="F8" s="5">
        <v>8.4860000000000007</v>
      </c>
      <c r="G8" s="5"/>
      <c r="H8" s="5">
        <v>741.15633425999999</v>
      </c>
      <c r="I8" s="5">
        <v>85.76700000000001</v>
      </c>
      <c r="J8" s="5"/>
      <c r="K8" s="5">
        <v>4352</v>
      </c>
      <c r="L8" s="5">
        <v>47706</v>
      </c>
      <c r="M8" s="5"/>
      <c r="N8" s="5">
        <v>4527</v>
      </c>
      <c r="O8" s="5">
        <f t="shared" si="0"/>
        <v>3</v>
      </c>
    </row>
    <row r="9" spans="1:15" x14ac:dyDescent="0.3">
      <c r="A9" s="5">
        <v>2009</v>
      </c>
      <c r="B9" s="5">
        <v>337.40158369999995</v>
      </c>
      <c r="C9" s="5">
        <v>77.694999999999993</v>
      </c>
      <c r="D9" s="5"/>
      <c r="E9" s="5">
        <v>395.36341349999992</v>
      </c>
      <c r="F9" s="5">
        <v>8.4160000000000004</v>
      </c>
      <c r="G9" s="5"/>
      <c r="H9" s="5">
        <v>732.76499719999993</v>
      </c>
      <c r="I9" s="5">
        <v>86.11099999999999</v>
      </c>
      <c r="J9" s="5"/>
      <c r="K9" s="5">
        <v>4343</v>
      </c>
      <c r="L9" s="5">
        <v>46978</v>
      </c>
      <c r="M9" s="5"/>
      <c r="N9" s="5">
        <v>4505</v>
      </c>
      <c r="O9" s="5">
        <f t="shared" si="0"/>
        <v>4</v>
      </c>
    </row>
    <row r="10" spans="1:15" x14ac:dyDescent="0.3">
      <c r="A10" s="5">
        <v>2010</v>
      </c>
      <c r="B10" s="5">
        <v>336.13771999999778</v>
      </c>
      <c r="C10" s="5">
        <v>78.185000000000002</v>
      </c>
      <c r="D10" s="5"/>
      <c r="E10" s="5">
        <v>394.61897909999988</v>
      </c>
      <c r="F10" s="5">
        <v>8.4019999999999992</v>
      </c>
      <c r="G10" s="5"/>
      <c r="H10" s="5">
        <v>730.7566990999976</v>
      </c>
      <c r="I10" s="5">
        <v>86.587000000000003</v>
      </c>
      <c r="J10" s="5"/>
      <c r="K10" s="5">
        <v>4299</v>
      </c>
      <c r="L10" s="5">
        <v>46967</v>
      </c>
      <c r="M10" s="5"/>
      <c r="N10" s="5">
        <v>4442</v>
      </c>
      <c r="O10" s="5">
        <f t="shared" si="0"/>
        <v>5</v>
      </c>
    </row>
    <row r="11" spans="1:15" x14ac:dyDescent="0.3">
      <c r="A11" s="5">
        <v>2011</v>
      </c>
      <c r="B11" s="5">
        <v>331.93704149999962</v>
      </c>
      <c r="C11" s="5">
        <v>78.483999999999995</v>
      </c>
      <c r="D11" s="5"/>
      <c r="E11" s="5">
        <v>362.18892449999896</v>
      </c>
      <c r="F11" s="5">
        <v>8.4369999999999994</v>
      </c>
      <c r="G11" s="5"/>
      <c r="H11" s="5">
        <v>694.12596599999597</v>
      </c>
      <c r="I11" s="5">
        <v>86.920999999999992</v>
      </c>
      <c r="J11" s="5"/>
      <c r="K11" s="5">
        <v>4229.359378981665</v>
      </c>
      <c r="L11" s="5">
        <v>42928.638674884314</v>
      </c>
      <c r="M11" s="5"/>
      <c r="N11" s="5">
        <v>4525.9410357098623</v>
      </c>
      <c r="O11" s="5">
        <f t="shared" si="0"/>
        <v>6</v>
      </c>
    </row>
    <row r="12" spans="1:15" x14ac:dyDescent="0.3">
      <c r="A12" s="5">
        <v>2012</v>
      </c>
      <c r="B12" s="5">
        <v>329.17891320000001</v>
      </c>
      <c r="C12" s="5">
        <v>78.858000000000004</v>
      </c>
      <c r="D12" s="5"/>
      <c r="E12" s="5">
        <v>362.09732689999998</v>
      </c>
      <c r="F12" s="5">
        <v>8.4120000000000008</v>
      </c>
      <c r="G12" s="5"/>
      <c r="H12" s="5">
        <v>691.27624009999988</v>
      </c>
      <c r="I12" s="5">
        <v>87.27</v>
      </c>
      <c r="J12" s="5"/>
      <c r="K12" s="5">
        <v>4174.3249029901845</v>
      </c>
      <c r="L12" s="5">
        <v>43045.331300523059</v>
      </c>
      <c r="M12" s="5"/>
      <c r="N12" s="5">
        <v>4460.7210949251303</v>
      </c>
      <c r="O12" s="5">
        <f t="shared" si="0"/>
        <v>7</v>
      </c>
    </row>
    <row r="13" spans="1:15" x14ac:dyDescent="0.3">
      <c r="A13" t="s">
        <v>10</v>
      </c>
      <c r="K13" s="4">
        <f>SLOPE(K5:K12,A5:A12)</f>
        <v>-85.237247430480764</v>
      </c>
      <c r="L13" s="4">
        <f>SLOPE(L5:L12,A5:A12)</f>
        <v>-1401.8153276418691</v>
      </c>
    </row>
    <row r="14" spans="1:15" x14ac:dyDescent="0.3">
      <c r="A14" t="s">
        <v>11</v>
      </c>
      <c r="K14" s="8">
        <f>K13/K12</f>
        <v>-2.0419408985012873E-2</v>
      </c>
      <c r="L14" s="8">
        <f>L13/L12</f>
        <v>-3.2566024822878646E-2</v>
      </c>
    </row>
    <row r="15" spans="1:15" x14ac:dyDescent="0.3">
      <c r="A15" t="s">
        <v>12</v>
      </c>
      <c r="K15" s="5">
        <f>(2029-$A$12)*K13+K12</f>
        <v>2725.2916966720113</v>
      </c>
      <c r="L15" s="5">
        <f>(2029-$A$12)*L13+L12</f>
        <v>19214.470730611283</v>
      </c>
    </row>
    <row r="16" spans="1:15" x14ac:dyDescent="0.3">
      <c r="A16" t="s">
        <v>13</v>
      </c>
      <c r="K16" s="7">
        <f>(K12-K15)/K12</f>
        <v>0.34712995274521891</v>
      </c>
      <c r="L16" s="7">
        <f>(L12-L15)/L12</f>
        <v>0.55362242198893696</v>
      </c>
    </row>
    <row r="35" spans="1:26" x14ac:dyDescent="0.3">
      <c r="A35" t="s">
        <v>21</v>
      </c>
      <c r="B35">
        <v>13000</v>
      </c>
    </row>
    <row r="36" spans="1:26" x14ac:dyDescent="0.3">
      <c r="A36" t="s">
        <v>22</v>
      </c>
      <c r="B36">
        <f>2029-2014</f>
        <v>15</v>
      </c>
    </row>
    <row r="37" spans="1:26" x14ac:dyDescent="0.3">
      <c r="A37" t="s">
        <v>23</v>
      </c>
      <c r="B37" s="5">
        <f>B35/B36</f>
        <v>866.66666666666663</v>
      </c>
    </row>
    <row r="44" spans="1:26" s="6" customFormat="1" x14ac:dyDescent="0.3">
      <c r="A44" s="6" t="s">
        <v>14</v>
      </c>
    </row>
    <row r="46" spans="1:26" x14ac:dyDescent="0.3">
      <c r="A46" t="s">
        <v>8</v>
      </c>
      <c r="B46">
        <v>2005</v>
      </c>
      <c r="C46">
        <v>2006</v>
      </c>
      <c r="D46">
        <v>2007</v>
      </c>
      <c r="E46">
        <v>2008</v>
      </c>
      <c r="F46">
        <v>2009</v>
      </c>
      <c r="G46">
        <v>2010</v>
      </c>
      <c r="H46">
        <v>2011</v>
      </c>
      <c r="I46">
        <v>2012</v>
      </c>
      <c r="J46">
        <v>2013</v>
      </c>
      <c r="K46">
        <v>2014</v>
      </c>
      <c r="L46">
        <v>2015</v>
      </c>
      <c r="M46">
        <v>2016</v>
      </c>
      <c r="N46">
        <v>2017</v>
      </c>
      <c r="O46">
        <v>2018</v>
      </c>
      <c r="P46">
        <v>2019</v>
      </c>
      <c r="Q46">
        <v>2020</v>
      </c>
      <c r="R46">
        <v>2021</v>
      </c>
      <c r="S46">
        <v>2022</v>
      </c>
      <c r="T46">
        <v>2023</v>
      </c>
      <c r="U46">
        <v>2024</v>
      </c>
      <c r="V46">
        <v>2025</v>
      </c>
      <c r="W46">
        <v>2026</v>
      </c>
      <c r="X46">
        <v>2027</v>
      </c>
      <c r="Y46">
        <v>2028</v>
      </c>
      <c r="Z46">
        <v>2029</v>
      </c>
    </row>
    <row r="47" spans="1:26" x14ac:dyDescent="0.3">
      <c r="A47" t="s">
        <v>15</v>
      </c>
      <c r="B47" s="9">
        <f t="array" ref="B47:H47">TRANSPOSE(K5:K12)</f>
        <v>4763</v>
      </c>
      <c r="C47" s="9">
        <v>4656</v>
      </c>
      <c r="D47" s="9">
        <v>4598</v>
      </c>
      <c r="E47" s="9">
        <v>4352</v>
      </c>
      <c r="F47" s="9">
        <v>4343</v>
      </c>
      <c r="G47" s="9">
        <v>4299</v>
      </c>
      <c r="H47" s="9">
        <v>4229.359378981665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x14ac:dyDescent="0.3">
      <c r="A48" t="s">
        <v>17</v>
      </c>
      <c r="B48" s="9">
        <f t="array" ref="B48:H48">1000*TRANSPOSE(C5:C12)</f>
        <v>76828</v>
      </c>
      <c r="C48" s="9">
        <v>77037</v>
      </c>
      <c r="D48" s="9">
        <v>76962</v>
      </c>
      <c r="E48" s="9">
        <v>77281</v>
      </c>
      <c r="F48" s="9">
        <v>77695</v>
      </c>
      <c r="G48" s="9">
        <v>78185</v>
      </c>
      <c r="H48" s="9">
        <v>78484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7" x14ac:dyDescent="0.3">
      <c r="A49" t="s">
        <v>16</v>
      </c>
      <c r="B49" s="9">
        <f t="array" ref="B49:H49">TRANSPOSE(L5:L12)</f>
        <v>53593</v>
      </c>
      <c r="C49" s="9">
        <v>50791</v>
      </c>
      <c r="D49" s="9">
        <v>48260</v>
      </c>
      <c r="E49" s="9">
        <v>47706</v>
      </c>
      <c r="F49" s="9">
        <v>46978</v>
      </c>
      <c r="G49" s="9">
        <v>46967</v>
      </c>
      <c r="H49" s="9">
        <v>42928.638674884314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7" x14ac:dyDescent="0.3">
      <c r="A50" t="s">
        <v>18</v>
      </c>
      <c r="B50" s="9">
        <f t="array" ref="B50:H50">1000*TRANSPOSE(F5:F12)</f>
        <v>8642</v>
      </c>
      <c r="C50" s="9">
        <v>8444</v>
      </c>
      <c r="D50" s="9">
        <v>8469</v>
      </c>
      <c r="E50" s="9">
        <v>8486</v>
      </c>
      <c r="F50" s="9">
        <v>8416</v>
      </c>
      <c r="G50" s="9">
        <v>8402</v>
      </c>
      <c r="H50" s="9">
        <v>8437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7" x14ac:dyDescent="0.3">
      <c r="A51" t="s">
        <v>19</v>
      </c>
      <c r="B51" s="9"/>
      <c r="C51" s="9"/>
      <c r="D51" s="9"/>
      <c r="E51" s="9"/>
      <c r="F51" s="9"/>
      <c r="G51" s="9"/>
      <c r="H51" s="9"/>
      <c r="I51" s="9">
        <f>H47*(100%+$K$14)</f>
        <v>4142.9983600776386</v>
      </c>
      <c r="J51" s="9">
        <f>I51*(100%+$K$14)</f>
        <v>4058.400782138976</v>
      </c>
      <c r="K51" s="9">
        <f t="shared" ref="K51:Z51" si="1">J51*(100%+$K$14)</f>
        <v>3975.5306367433841</v>
      </c>
      <c r="L51" s="9">
        <f t="shared" si="1"/>
        <v>3894.3526507392726</v>
      </c>
      <c r="M51" s="9">
        <f t="shared" si="1"/>
        <v>3814.8322712319587</v>
      </c>
      <c r="N51" s="9">
        <f t="shared" si="1"/>
        <v>3736.9356508764481</v>
      </c>
      <c r="O51" s="9">
        <f t="shared" si="1"/>
        <v>3660.6296334705266</v>
      </c>
      <c r="P51" s="9">
        <f t="shared" si="1"/>
        <v>3585.8817398420342</v>
      </c>
      <c r="Q51" s="9">
        <f t="shared" si="1"/>
        <v>3512.6601540243105</v>
      </c>
      <c r="R51" s="9">
        <f t="shared" si="1"/>
        <v>3440.9337097139301</v>
      </c>
      <c r="S51" s="9">
        <f t="shared" si="1"/>
        <v>3370.6718770049638</v>
      </c>
      <c r="T51" s="9">
        <f t="shared" si="1"/>
        <v>3301.8447493941185</v>
      </c>
      <c r="U51" s="9">
        <f t="shared" si="1"/>
        <v>3234.423031051223</v>
      </c>
      <c r="V51" s="9">
        <f t="shared" si="1"/>
        <v>3168.3780243496431</v>
      </c>
      <c r="W51" s="9">
        <f t="shared" si="1"/>
        <v>3103.6816176513207</v>
      </c>
      <c r="X51" s="9">
        <f t="shared" si="1"/>
        <v>3040.3062733412321</v>
      </c>
      <c r="Y51" s="9">
        <f t="shared" si="1"/>
        <v>2978.2250161061775</v>
      </c>
      <c r="Z51" s="9">
        <f t="shared" si="1"/>
        <v>2917.4114214529091</v>
      </c>
    </row>
    <row r="52" spans="1:27" x14ac:dyDescent="0.3">
      <c r="A52" t="s">
        <v>25</v>
      </c>
      <c r="B52" s="9"/>
      <c r="C52" s="9"/>
      <c r="D52" s="9"/>
      <c r="E52" s="9"/>
      <c r="F52" s="9"/>
      <c r="G52" s="9"/>
      <c r="H52" s="9"/>
      <c r="I52" s="9">
        <f>H48</f>
        <v>78484</v>
      </c>
      <c r="J52" s="9">
        <f>I52</f>
        <v>78484</v>
      </c>
      <c r="K52" s="9">
        <f>J52+$B$37</f>
        <v>79350.666666666672</v>
      </c>
      <c r="L52" s="9">
        <f t="shared" ref="L52:Z52" si="2">K52+$B$37</f>
        <v>80217.333333333343</v>
      </c>
      <c r="M52" s="9">
        <f t="shared" si="2"/>
        <v>81084.000000000015</v>
      </c>
      <c r="N52" s="9">
        <f t="shared" si="2"/>
        <v>81950.666666666686</v>
      </c>
      <c r="O52" s="9">
        <f t="shared" si="2"/>
        <v>82817.333333333358</v>
      </c>
      <c r="P52" s="9">
        <f t="shared" si="2"/>
        <v>83684.000000000029</v>
      </c>
      <c r="Q52" s="9">
        <f t="shared" si="2"/>
        <v>84550.666666666701</v>
      </c>
      <c r="R52" s="9">
        <f t="shared" si="2"/>
        <v>85417.333333333372</v>
      </c>
      <c r="S52" s="9">
        <f t="shared" si="2"/>
        <v>86284.000000000044</v>
      </c>
      <c r="T52" s="9">
        <f t="shared" si="2"/>
        <v>87150.666666666715</v>
      </c>
      <c r="U52" s="9">
        <f t="shared" si="2"/>
        <v>88017.333333333387</v>
      </c>
      <c r="V52" s="9">
        <f t="shared" si="2"/>
        <v>88884.000000000058</v>
      </c>
      <c r="W52" s="9">
        <f t="shared" si="2"/>
        <v>89750.66666666673</v>
      </c>
      <c r="X52" s="9">
        <f t="shared" si="2"/>
        <v>90617.333333333401</v>
      </c>
      <c r="Y52" s="9">
        <f t="shared" si="2"/>
        <v>91484.000000000073</v>
      </c>
      <c r="Z52" s="9">
        <f t="shared" si="2"/>
        <v>92350.666666666744</v>
      </c>
    </row>
    <row r="53" spans="1:27" x14ac:dyDescent="0.3">
      <c r="A53" t="s">
        <v>20</v>
      </c>
      <c r="B53" s="9"/>
      <c r="C53" s="9"/>
      <c r="D53" s="9"/>
      <c r="E53" s="9"/>
      <c r="F53" s="9"/>
      <c r="G53" s="9"/>
      <c r="H53" s="9"/>
      <c r="I53" s="9">
        <f>H49*(100%+$K$14)</f>
        <v>42052.061244612014</v>
      </c>
      <c r="J53" s="9">
        <f>I53*(100%+$K$14)</f>
        <v>41193.383007395474</v>
      </c>
      <c r="K53" s="9">
        <f t="shared" ref="K53:Z53" si="3">J53*(100%+$K$14)</f>
        <v>40352.238472291188</v>
      </c>
      <c r="L53" s="9">
        <f t="shared" si="3"/>
        <v>39528.269611464704</v>
      </c>
      <c r="M53" s="9">
        <f t="shared" si="3"/>
        <v>38721.125707798354</v>
      </c>
      <c r="N53" s="9">
        <f t="shared" si="3"/>
        <v>37930.463205610722</v>
      </c>
      <c r="O53" s="9">
        <f t="shared" si="3"/>
        <v>37155.945564424379</v>
      </c>
      <c r="P53" s="9">
        <f t="shared" si="3"/>
        <v>36397.243115719524</v>
      </c>
      <c r="Q53" s="9">
        <f t="shared" si="3"/>
        <v>35654.032922612707</v>
      </c>
      <c r="R53" s="9">
        <f t="shared" si="3"/>
        <v>34925.998642400766</v>
      </c>
      <c r="S53" s="9">
        <f t="shared" si="3"/>
        <v>34212.830391911579</v>
      </c>
      <c r="T53" s="9">
        <f t="shared" si="3"/>
        <v>33514.22461560426</v>
      </c>
      <c r="U53" s="9">
        <f t="shared" si="3"/>
        <v>32829.883956362653</v>
      </c>
      <c r="V53" s="9">
        <f t="shared" si="3"/>
        <v>32159.517128927175</v>
      </c>
      <c r="W53" s="9">
        <f t="shared" si="3"/>
        <v>31502.838795911084</v>
      </c>
      <c r="X53" s="9">
        <f t="shared" si="3"/>
        <v>30859.569446348447</v>
      </c>
      <c r="Y53" s="9">
        <f t="shared" si="3"/>
        <v>30229.435276722052</v>
      </c>
      <c r="Z53" s="9">
        <f t="shared" si="3"/>
        <v>29612.16807442069</v>
      </c>
    </row>
    <row r="54" spans="1:27" x14ac:dyDescent="0.3">
      <c r="A54" t="s">
        <v>24</v>
      </c>
      <c r="B54" s="9"/>
      <c r="C54" s="9"/>
      <c r="D54" s="9"/>
      <c r="E54" s="9"/>
      <c r="F54" s="9"/>
      <c r="G54" s="9"/>
      <c r="H54" s="9"/>
      <c r="I54" s="9">
        <f>H50</f>
        <v>8437</v>
      </c>
      <c r="J54" s="9">
        <f>I54</f>
        <v>8437</v>
      </c>
      <c r="K54" s="9">
        <f>(K52/J52)*J54</f>
        <v>8530.1663353889544</v>
      </c>
      <c r="L54" s="9">
        <f t="shared" ref="L54:Z54" si="4">(L52/K52)*K54</f>
        <v>8623.3326707779088</v>
      </c>
      <c r="M54" s="9">
        <f t="shared" si="4"/>
        <v>8716.4990061668632</v>
      </c>
      <c r="N54" s="9">
        <f t="shared" si="4"/>
        <v>8809.6653415558194</v>
      </c>
      <c r="O54" s="9">
        <f t="shared" si="4"/>
        <v>8902.8316769447738</v>
      </c>
      <c r="P54" s="9">
        <f t="shared" si="4"/>
        <v>8995.9980123337282</v>
      </c>
      <c r="Q54" s="9">
        <f t="shared" si="4"/>
        <v>9089.1643477226826</v>
      </c>
      <c r="R54" s="9">
        <f t="shared" si="4"/>
        <v>9182.330683111637</v>
      </c>
      <c r="S54" s="9">
        <f t="shared" si="4"/>
        <v>9275.4970185005914</v>
      </c>
      <c r="T54" s="9">
        <f t="shared" si="4"/>
        <v>9368.6633538895458</v>
      </c>
      <c r="U54" s="9">
        <f t="shared" si="4"/>
        <v>9461.8296892785002</v>
      </c>
      <c r="V54" s="9">
        <f t="shared" si="4"/>
        <v>9554.9960246674545</v>
      </c>
      <c r="W54" s="9">
        <f t="shared" si="4"/>
        <v>9648.1623600564089</v>
      </c>
      <c r="X54" s="9">
        <f t="shared" si="4"/>
        <v>9741.3286954453633</v>
      </c>
      <c r="Y54" s="9">
        <f t="shared" si="4"/>
        <v>9834.4950308343196</v>
      </c>
      <c r="Z54" s="9">
        <f t="shared" si="4"/>
        <v>9927.6613662232739</v>
      </c>
    </row>
    <row r="55" spans="1:27" x14ac:dyDescent="0.3">
      <c r="A55" t="s">
        <v>26</v>
      </c>
      <c r="B55" s="9">
        <f>(B47*B48+B51*B52)/(1000*1000)</f>
        <v>365.93176399999999</v>
      </c>
      <c r="C55" s="9">
        <f t="shared" ref="C55:Z55" si="5">(C47*C48+C51*C52)/(1000*1000)</f>
        <v>358.68427200000002</v>
      </c>
      <c r="D55" s="9">
        <f t="shared" si="5"/>
        <v>353.87127600000002</v>
      </c>
      <c r="E55" s="9">
        <f t="shared" si="5"/>
        <v>336.32691199999999</v>
      </c>
      <c r="F55" s="9">
        <f t="shared" si="5"/>
        <v>337.42938500000002</v>
      </c>
      <c r="G55" s="9">
        <f t="shared" si="5"/>
        <v>336.11731500000002</v>
      </c>
      <c r="H55" s="9">
        <f t="shared" si="5"/>
        <v>331.93704149999701</v>
      </c>
      <c r="I55" s="9">
        <f t="shared" si="5"/>
        <v>325.15908329233338</v>
      </c>
      <c r="J55" s="9">
        <f t="shared" si="5"/>
        <v>318.51952698539537</v>
      </c>
      <c r="K55" s="9">
        <f t="shared" si="5"/>
        <v>315.46100637934535</v>
      </c>
      <c r="L55" s="9">
        <f t="shared" si="5"/>
        <v>312.39458470190249</v>
      </c>
      <c r="M55" s="9">
        <f t="shared" si="5"/>
        <v>309.32185988057222</v>
      </c>
      <c r="N55" s="9">
        <f t="shared" si="5"/>
        <v>306.2443678797589</v>
      </c>
      <c r="O55" s="9">
        <f t="shared" si="5"/>
        <v>303.16358456500649</v>
      </c>
      <c r="P55" s="9">
        <f t="shared" si="5"/>
        <v>300.0809275169409</v>
      </c>
      <c r="Q55" s="9">
        <f t="shared" si="5"/>
        <v>296.99775779619159</v>
      </c>
      <c r="R55" s="9">
        <f t="shared" si="5"/>
        <v>293.91538166053812</v>
      </c>
      <c r="S55" s="9">
        <f t="shared" si="5"/>
        <v>290.83505223549645</v>
      </c>
      <c r="T55" s="9">
        <f t="shared" si="5"/>
        <v>287.75797113953053</v>
      </c>
      <c r="U55" s="9">
        <f t="shared" si="5"/>
        <v>284.68529006504599</v>
      </c>
      <c r="V55" s="9">
        <f t="shared" si="5"/>
        <v>281.61811231629383</v>
      </c>
      <c r="W55" s="9">
        <f t="shared" si="5"/>
        <v>278.55749430528471</v>
      </c>
      <c r="X55" s="9">
        <f t="shared" si="5"/>
        <v>275.50444700678707</v>
      </c>
      <c r="Y55" s="9">
        <f t="shared" si="5"/>
        <v>272.45993737345771</v>
      </c>
      <c r="Z55" s="9">
        <f t="shared" si="5"/>
        <v>269.42488971212401</v>
      </c>
      <c r="AA55" s="5"/>
    </row>
    <row r="56" spans="1:27" x14ac:dyDescent="0.3">
      <c r="A56" t="s">
        <v>27</v>
      </c>
      <c r="B56" s="9">
        <f>(B49*B50+B53*B54)/(1000*1000)</f>
        <v>463.15070600000001</v>
      </c>
      <c r="C56" s="9">
        <f t="shared" ref="C56:Z56" si="6">(C49*C50+C53*C54)/(1000*1000)</f>
        <v>428.87920400000002</v>
      </c>
      <c r="D56" s="9">
        <f t="shared" si="6"/>
        <v>408.71393999999998</v>
      </c>
      <c r="E56" s="9">
        <f t="shared" si="6"/>
        <v>404.83311600000002</v>
      </c>
      <c r="F56" s="9">
        <f t="shared" si="6"/>
        <v>395.366848</v>
      </c>
      <c r="G56" s="9">
        <f t="shared" si="6"/>
        <v>394.61673400000001</v>
      </c>
      <c r="H56" s="9">
        <f t="shared" si="6"/>
        <v>362.18892449999896</v>
      </c>
      <c r="I56" s="9">
        <f t="shared" si="6"/>
        <v>354.79324072079157</v>
      </c>
      <c r="J56" s="9">
        <f t="shared" si="6"/>
        <v>347.54857243339563</v>
      </c>
      <c r="K56" s="9">
        <f t="shared" si="6"/>
        <v>344.21130617392527</v>
      </c>
      <c r="L56" s="9">
        <f t="shared" si="6"/>
        <v>340.86541875986114</v>
      </c>
      <c r="M56" s="9">
        <f t="shared" si="6"/>
        <v>337.51265374968654</v>
      </c>
      <c r="N56" s="9">
        <f t="shared" si="6"/>
        <v>334.15468709162701</v>
      </c>
      <c r="O56" s="9">
        <f t="shared" si="6"/>
        <v>330.79312915779303</v>
      </c>
      <c r="P56" s="9">
        <f t="shared" si="6"/>
        <v>327.42952672344029</v>
      </c>
      <c r="Q56" s="9">
        <f t="shared" si="6"/>
        <v>324.06536489274214</v>
      </c>
      <c r="R56" s="9">
        <f t="shared" si="6"/>
        <v>320.70206897243196</v>
      </c>
      <c r="S56" s="9">
        <f t="shared" si="6"/>
        <v>317.34100629464228</v>
      </c>
      <c r="T56" s="9">
        <f t="shared" si="6"/>
        <v>313.98348799023455</v>
      </c>
      <c r="U56" s="9">
        <f t="shared" si="6"/>
        <v>310.63077071388005</v>
      </c>
      <c r="V56" s="9">
        <f t="shared" si="6"/>
        <v>307.28405832212405</v>
      </c>
      <c r="W56" s="9">
        <f t="shared" si="6"/>
        <v>303.94450350563409</v>
      </c>
      <c r="X56" s="9">
        <f t="shared" si="6"/>
        <v>300.61320937680313</v>
      </c>
      <c r="Y56" s="9">
        <f t="shared" si="6"/>
        <v>297.29123101385068</v>
      </c>
      <c r="Z56" s="9">
        <f t="shared" si="6"/>
        <v>293.9795769625365</v>
      </c>
    </row>
    <row r="57" spans="1:27" x14ac:dyDescent="0.3">
      <c r="A57" t="s">
        <v>28</v>
      </c>
      <c r="B57" s="9">
        <f>B55+B56</f>
        <v>829.08247000000006</v>
      </c>
      <c r="C57" s="9">
        <f t="shared" ref="C57:Z57" si="7">C55+C56</f>
        <v>787.56347600000004</v>
      </c>
      <c r="D57" s="9">
        <f t="shared" si="7"/>
        <v>762.58521599999995</v>
      </c>
      <c r="E57" s="9">
        <f t="shared" si="7"/>
        <v>741.16002800000001</v>
      </c>
      <c r="F57" s="9">
        <f t="shared" si="7"/>
        <v>732.79623300000003</v>
      </c>
      <c r="G57" s="9">
        <f t="shared" si="7"/>
        <v>730.73404900000003</v>
      </c>
      <c r="H57" s="9">
        <f t="shared" si="7"/>
        <v>694.12596599999597</v>
      </c>
      <c r="I57" s="9">
        <f t="shared" si="7"/>
        <v>679.95232401312501</v>
      </c>
      <c r="J57" s="9">
        <f t="shared" si="7"/>
        <v>666.06809941879101</v>
      </c>
      <c r="K57" s="9">
        <f t="shared" si="7"/>
        <v>659.67231255327056</v>
      </c>
      <c r="L57" s="9">
        <f t="shared" si="7"/>
        <v>653.26000346176363</v>
      </c>
      <c r="M57" s="9">
        <f t="shared" si="7"/>
        <v>646.8345136302587</v>
      </c>
      <c r="N57" s="9">
        <f t="shared" si="7"/>
        <v>640.39905497138591</v>
      </c>
      <c r="O57" s="9">
        <f t="shared" si="7"/>
        <v>633.95671372279958</v>
      </c>
      <c r="P57" s="9">
        <f t="shared" si="7"/>
        <v>627.51045424038125</v>
      </c>
      <c r="Q57" s="9">
        <f t="shared" si="7"/>
        <v>621.06312268893373</v>
      </c>
      <c r="R57" s="9">
        <f t="shared" si="7"/>
        <v>614.61745063297008</v>
      </c>
      <c r="S57" s="9">
        <f t="shared" si="7"/>
        <v>608.17605853013879</v>
      </c>
      <c r="T57" s="9">
        <f t="shared" si="7"/>
        <v>601.74145912976508</v>
      </c>
      <c r="U57" s="9">
        <f t="shared" si="7"/>
        <v>595.31606077892604</v>
      </c>
      <c r="V57" s="9">
        <f t="shared" si="7"/>
        <v>588.90217063841783</v>
      </c>
      <c r="W57" s="9">
        <f t="shared" si="7"/>
        <v>582.50199781091874</v>
      </c>
      <c r="X57" s="9">
        <f t="shared" si="7"/>
        <v>576.1176563835902</v>
      </c>
      <c r="Y57" s="9">
        <f t="shared" si="7"/>
        <v>569.75116838730833</v>
      </c>
      <c r="Z57" s="9">
        <f t="shared" si="7"/>
        <v>563.40446667466051</v>
      </c>
    </row>
    <row r="58" spans="1:27" x14ac:dyDescent="0.3">
      <c r="A58" t="s">
        <v>29</v>
      </c>
      <c r="B58" s="8">
        <f>(Z52-K52)/K52</f>
        <v>0.16382975148287018</v>
      </c>
    </row>
    <row r="63" spans="1:27" x14ac:dyDescent="0.3">
      <c r="I63">
        <f>13000/I52</f>
        <v>0.1656388563274043</v>
      </c>
    </row>
    <row r="76" spans="1:5" s="6" customFormat="1" x14ac:dyDescent="0.3">
      <c r="A76" s="6" t="s">
        <v>30</v>
      </c>
    </row>
    <row r="77" spans="1:5" x14ac:dyDescent="0.3">
      <c r="A77" t="s">
        <v>37</v>
      </c>
    </row>
    <row r="78" spans="1:5" x14ac:dyDescent="0.3">
      <c r="A78" s="1" t="s">
        <v>31</v>
      </c>
    </row>
    <row r="79" spans="1:5" x14ac:dyDescent="0.3">
      <c r="A79" t="s">
        <v>32</v>
      </c>
      <c r="B79" t="s">
        <v>33</v>
      </c>
      <c r="C79" t="s">
        <v>38</v>
      </c>
      <c r="D79" t="s">
        <v>35</v>
      </c>
      <c r="E79" t="s">
        <v>36</v>
      </c>
    </row>
    <row r="80" spans="1:5" x14ac:dyDescent="0.3">
      <c r="A80" s="10">
        <v>40330</v>
      </c>
      <c r="B80">
        <v>10</v>
      </c>
      <c r="C80" s="5">
        <f>B80*3.5</f>
        <v>35</v>
      </c>
      <c r="D80" s="8">
        <f>B80/$I$52</f>
        <v>1.2741450486723408E-4</v>
      </c>
      <c r="E80" s="4">
        <f>C80*850/1000/1000</f>
        <v>2.9749999999999999E-2</v>
      </c>
    </row>
    <row r="81" spans="1:26" x14ac:dyDescent="0.3">
      <c r="A81" s="10">
        <v>40513</v>
      </c>
      <c r="B81">
        <v>106</v>
      </c>
      <c r="C81" s="5">
        <f t="shared" ref="C81:C88" si="8">B81*3.5</f>
        <v>371</v>
      </c>
      <c r="D81" s="8">
        <f t="shared" ref="D81:D88" si="9">B81/$I$52</f>
        <v>1.3505937515926813E-3</v>
      </c>
      <c r="E81" s="4">
        <f t="shared" ref="E81:E90" si="10">C81*850/1000/1000</f>
        <v>0.31535000000000002</v>
      </c>
    </row>
    <row r="82" spans="1:26" x14ac:dyDescent="0.3">
      <c r="A82" s="10">
        <v>40695</v>
      </c>
      <c r="B82">
        <v>240</v>
      </c>
      <c r="C82" s="5">
        <f t="shared" si="8"/>
        <v>840</v>
      </c>
      <c r="D82" s="8">
        <f t="shared" si="9"/>
        <v>3.0579481168136182E-3</v>
      </c>
      <c r="E82" s="4">
        <f t="shared" si="10"/>
        <v>0.71399999999999997</v>
      </c>
    </row>
    <row r="83" spans="1:26" x14ac:dyDescent="0.3">
      <c r="A83" s="10">
        <v>40878</v>
      </c>
      <c r="B83">
        <v>676</v>
      </c>
      <c r="C83" s="5">
        <f t="shared" si="8"/>
        <v>2366</v>
      </c>
      <c r="D83" s="8">
        <f t="shared" si="9"/>
        <v>8.6132205290250247E-3</v>
      </c>
      <c r="E83" s="4">
        <f t="shared" si="10"/>
        <v>2.0110999999999999</v>
      </c>
    </row>
    <row r="84" spans="1:26" x14ac:dyDescent="0.3">
      <c r="A84" s="10">
        <v>41061</v>
      </c>
      <c r="B84">
        <v>1158</v>
      </c>
      <c r="C84" s="5">
        <f t="shared" si="8"/>
        <v>4053</v>
      </c>
      <c r="D84" s="8">
        <f t="shared" si="9"/>
        <v>1.4754599663625707E-2</v>
      </c>
      <c r="E84" s="4">
        <f t="shared" si="10"/>
        <v>3.4450500000000002</v>
      </c>
    </row>
    <row r="85" spans="1:26" x14ac:dyDescent="0.3">
      <c r="A85" s="10">
        <v>41244</v>
      </c>
      <c r="B85">
        <v>1353</v>
      </c>
      <c r="C85" s="5">
        <f t="shared" si="8"/>
        <v>4735.5</v>
      </c>
      <c r="D85" s="8">
        <f t="shared" si="9"/>
        <v>1.723918250853677E-2</v>
      </c>
      <c r="E85" s="4">
        <f t="shared" si="10"/>
        <v>4.0251749999999999</v>
      </c>
    </row>
    <row r="86" spans="1:26" x14ac:dyDescent="0.3">
      <c r="A86" s="10">
        <v>41426</v>
      </c>
      <c r="B86">
        <v>1456</v>
      </c>
      <c r="C86" s="5">
        <f t="shared" si="8"/>
        <v>5096</v>
      </c>
      <c r="D86" s="8">
        <f t="shared" si="9"/>
        <v>1.8551551908669282E-2</v>
      </c>
      <c r="E86" s="4">
        <f t="shared" si="10"/>
        <v>4.3316000000000008</v>
      </c>
    </row>
    <row r="87" spans="1:26" x14ac:dyDescent="0.3">
      <c r="A87" s="10">
        <v>41518</v>
      </c>
      <c r="B87">
        <v>1526</v>
      </c>
      <c r="C87" s="5">
        <f t="shared" si="8"/>
        <v>5341</v>
      </c>
      <c r="D87" s="8">
        <f t="shared" si="9"/>
        <v>1.9443453442739921E-2</v>
      </c>
      <c r="E87" s="4">
        <f t="shared" si="10"/>
        <v>4.5398500000000004</v>
      </c>
    </row>
    <row r="88" spans="1:26" x14ac:dyDescent="0.3">
      <c r="A88" s="10">
        <v>41699</v>
      </c>
      <c r="B88">
        <v>1606</v>
      </c>
      <c r="C88" s="5">
        <f t="shared" si="8"/>
        <v>5621</v>
      </c>
      <c r="D88" s="8">
        <f t="shared" si="9"/>
        <v>2.0462769481677794E-2</v>
      </c>
      <c r="E88" s="4">
        <f t="shared" si="10"/>
        <v>4.7778499999999999</v>
      </c>
      <c r="F88" s="8">
        <f>E88/K57</f>
        <v>7.242762670313185E-3</v>
      </c>
    </row>
    <row r="89" spans="1:26" x14ac:dyDescent="0.3">
      <c r="A89" t="s">
        <v>42</v>
      </c>
      <c r="C89" s="3">
        <f>(C88-C80)/((A88-A80)/365)/1000</f>
        <v>1.4893279766252741</v>
      </c>
      <c r="D89" t="s">
        <v>41</v>
      </c>
      <c r="E89" s="4">
        <f t="shared" si="10"/>
        <v>1.265928780131483E-3</v>
      </c>
    </row>
    <row r="90" spans="1:26" x14ac:dyDescent="0.3">
      <c r="A90" t="s">
        <v>43</v>
      </c>
      <c r="C90" s="3">
        <f>(C88-C85)/((A88-A85)/365)/1000</f>
        <v>0.71034615384615385</v>
      </c>
      <c r="D90" t="s">
        <v>41</v>
      </c>
      <c r="E90" s="4">
        <f t="shared" si="10"/>
        <v>6.0379423076923082E-4</v>
      </c>
    </row>
    <row r="91" spans="1:26" x14ac:dyDescent="0.3">
      <c r="A91" s="1" t="s">
        <v>39</v>
      </c>
    </row>
    <row r="92" spans="1:26" x14ac:dyDescent="0.3">
      <c r="A92" t="s">
        <v>40</v>
      </c>
      <c r="B92" s="4">
        <v>7</v>
      </c>
      <c r="C92" t="s">
        <v>41</v>
      </c>
    </row>
    <row r="93" spans="1:26" x14ac:dyDescent="0.3">
      <c r="A93" t="s">
        <v>44</v>
      </c>
      <c r="B93" s="4">
        <f>B92+C90</f>
        <v>7.710346153846154</v>
      </c>
      <c r="C93" t="s">
        <v>41</v>
      </c>
    </row>
    <row r="94" spans="1:26" x14ac:dyDescent="0.3">
      <c r="A94" t="s">
        <v>46</v>
      </c>
      <c r="B94">
        <v>850</v>
      </c>
      <c r="D94">
        <f>B94*B93*1000/(1000*1000)</f>
        <v>6.5537942307692312</v>
      </c>
    </row>
    <row r="95" spans="1:26" x14ac:dyDescent="0.3">
      <c r="A95" t="str">
        <f>A46</f>
        <v>Year</v>
      </c>
      <c r="B95">
        <f>B46</f>
        <v>2005</v>
      </c>
      <c r="C95">
        <f t="shared" ref="C95:Z95" si="11">C46</f>
        <v>2006</v>
      </c>
      <c r="D95">
        <f t="shared" si="11"/>
        <v>2007</v>
      </c>
      <c r="E95">
        <f t="shared" si="11"/>
        <v>2008</v>
      </c>
      <c r="F95">
        <f t="shared" si="11"/>
        <v>2009</v>
      </c>
      <c r="G95">
        <f t="shared" si="11"/>
        <v>2010</v>
      </c>
      <c r="H95">
        <f t="shared" si="11"/>
        <v>2011</v>
      </c>
      <c r="I95">
        <f t="shared" si="11"/>
        <v>2012</v>
      </c>
      <c r="J95">
        <f t="shared" si="11"/>
        <v>2013</v>
      </c>
      <c r="K95">
        <f t="shared" si="11"/>
        <v>2014</v>
      </c>
      <c r="L95">
        <f t="shared" si="11"/>
        <v>2015</v>
      </c>
      <c r="M95">
        <f t="shared" si="11"/>
        <v>2016</v>
      </c>
      <c r="N95">
        <f t="shared" si="11"/>
        <v>2017</v>
      </c>
      <c r="O95">
        <f t="shared" si="11"/>
        <v>2018</v>
      </c>
      <c r="P95">
        <f t="shared" si="11"/>
        <v>2019</v>
      </c>
      <c r="Q95">
        <f t="shared" si="11"/>
        <v>2020</v>
      </c>
      <c r="R95">
        <f t="shared" si="11"/>
        <v>2021</v>
      </c>
      <c r="S95">
        <f t="shared" si="11"/>
        <v>2022</v>
      </c>
      <c r="T95">
        <f t="shared" si="11"/>
        <v>2023</v>
      </c>
      <c r="U95">
        <f t="shared" si="11"/>
        <v>2024</v>
      </c>
      <c r="V95">
        <f t="shared" si="11"/>
        <v>2025</v>
      </c>
      <c r="W95">
        <f t="shared" si="11"/>
        <v>2026</v>
      </c>
      <c r="X95">
        <f t="shared" si="11"/>
        <v>2027</v>
      </c>
      <c r="Y95">
        <f t="shared" si="11"/>
        <v>2028</v>
      </c>
      <c r="Z95">
        <f t="shared" si="11"/>
        <v>2029</v>
      </c>
    </row>
    <row r="96" spans="1:26" x14ac:dyDescent="0.3">
      <c r="A96" t="s">
        <v>45</v>
      </c>
      <c r="G96" s="4">
        <f>C81/1000</f>
        <v>0.371</v>
      </c>
      <c r="H96" s="4">
        <f>C84/1000</f>
        <v>4.0529999999999999</v>
      </c>
      <c r="I96" s="4">
        <f>C85/1000</f>
        <v>4.7355</v>
      </c>
      <c r="J96" s="4">
        <f>C87/1000</f>
        <v>5.3410000000000002</v>
      </c>
      <c r="K96" s="4">
        <f>C88/1000</f>
        <v>5.6210000000000004</v>
      </c>
      <c r="L96" s="11">
        <f>K96+$B$93</f>
        <v>13.331346153846155</v>
      </c>
      <c r="M96" s="11">
        <f t="shared" ref="M96:Z96" si="12">L96+$B$93</f>
        <v>21.041692307692308</v>
      </c>
      <c r="N96" s="11">
        <f t="shared" si="12"/>
        <v>28.752038461538461</v>
      </c>
      <c r="O96" s="11">
        <f t="shared" si="12"/>
        <v>36.462384615384615</v>
      </c>
      <c r="P96" s="11">
        <f t="shared" si="12"/>
        <v>44.172730769230768</v>
      </c>
      <c r="Q96" s="11">
        <f t="shared" si="12"/>
        <v>51.883076923076921</v>
      </c>
      <c r="R96" s="11">
        <f t="shared" si="12"/>
        <v>59.593423076923074</v>
      </c>
      <c r="S96" s="11">
        <f t="shared" si="12"/>
        <v>67.303769230769234</v>
      </c>
      <c r="T96" s="11">
        <f t="shared" si="12"/>
        <v>75.014115384615394</v>
      </c>
      <c r="U96" s="11">
        <f t="shared" si="12"/>
        <v>82.724461538461554</v>
      </c>
      <c r="V96" s="11">
        <f t="shared" si="12"/>
        <v>90.434807692307714</v>
      </c>
      <c r="W96" s="11">
        <f t="shared" si="12"/>
        <v>98.145153846153875</v>
      </c>
      <c r="X96" s="11">
        <f t="shared" si="12"/>
        <v>105.85550000000003</v>
      </c>
      <c r="Y96" s="11">
        <f t="shared" si="12"/>
        <v>113.56584615384619</v>
      </c>
      <c r="Z96" s="11">
        <f t="shared" si="12"/>
        <v>121.27619230769236</v>
      </c>
    </row>
    <row r="97" spans="1:26" x14ac:dyDescent="0.3">
      <c r="A97" t="s">
        <v>83</v>
      </c>
      <c r="B97" s="4">
        <f>B96*$B$94/1000</f>
        <v>0</v>
      </c>
      <c r="C97" s="4">
        <f t="shared" ref="C97:Z97" si="13">C96*$B$94/1000</f>
        <v>0</v>
      </c>
      <c r="D97" s="4">
        <f t="shared" si="13"/>
        <v>0</v>
      </c>
      <c r="E97" s="4">
        <f t="shared" si="13"/>
        <v>0</v>
      </c>
      <c r="F97" s="4">
        <f t="shared" si="13"/>
        <v>0</v>
      </c>
      <c r="G97" s="4">
        <f t="shared" si="13"/>
        <v>0.31535000000000002</v>
      </c>
      <c r="H97" s="4">
        <f t="shared" si="13"/>
        <v>3.4450499999999997</v>
      </c>
      <c r="I97" s="4">
        <f t="shared" si="13"/>
        <v>4.0251749999999999</v>
      </c>
      <c r="J97" s="4">
        <f t="shared" si="13"/>
        <v>4.5398500000000004</v>
      </c>
      <c r="K97" s="4">
        <f t="shared" si="13"/>
        <v>4.7778499999999999</v>
      </c>
      <c r="L97" s="4">
        <f t="shared" si="13"/>
        <v>11.331644230769232</v>
      </c>
      <c r="M97" s="4">
        <f t="shared" si="13"/>
        <v>17.885438461538463</v>
      </c>
      <c r="N97" s="4">
        <f t="shared" si="13"/>
        <v>24.439232692307691</v>
      </c>
      <c r="O97" s="4">
        <f t="shared" si="13"/>
        <v>30.993026923076922</v>
      </c>
      <c r="P97" s="4">
        <f t="shared" si="13"/>
        <v>37.546821153846153</v>
      </c>
      <c r="Q97" s="4">
        <f t="shared" si="13"/>
        <v>44.100615384615381</v>
      </c>
      <c r="R97" s="4">
        <f t="shared" si="13"/>
        <v>50.654409615384608</v>
      </c>
      <c r="S97" s="4">
        <f t="shared" si="13"/>
        <v>57.20820384615385</v>
      </c>
      <c r="T97" s="4">
        <f t="shared" si="13"/>
        <v>63.761998076923085</v>
      </c>
      <c r="U97" s="4">
        <f t="shared" si="13"/>
        <v>70.31579230769232</v>
      </c>
      <c r="V97" s="4">
        <f t="shared" si="13"/>
        <v>76.869586538461562</v>
      </c>
      <c r="W97" s="4">
        <f t="shared" si="13"/>
        <v>83.423380769230789</v>
      </c>
      <c r="X97" s="4">
        <f t="shared" si="13"/>
        <v>89.977175000000031</v>
      </c>
      <c r="Y97" s="4">
        <f t="shared" si="13"/>
        <v>96.530969230769259</v>
      </c>
      <c r="Z97" s="4">
        <f t="shared" si="13"/>
        <v>103.0847634615385</v>
      </c>
    </row>
    <row r="98" spans="1:26" x14ac:dyDescent="0.3">
      <c r="A98" t="s">
        <v>47</v>
      </c>
      <c r="B98" s="7">
        <f>B97/B57</f>
        <v>0</v>
      </c>
      <c r="C98" s="7">
        <f t="shared" ref="C98:Z98" si="14">C97/C57</f>
        <v>0</v>
      </c>
      <c r="D98" s="7">
        <f t="shared" si="14"/>
        <v>0</v>
      </c>
      <c r="E98" s="7">
        <f t="shared" si="14"/>
        <v>0</v>
      </c>
      <c r="F98" s="7">
        <f t="shared" si="14"/>
        <v>0</v>
      </c>
      <c r="G98" s="7">
        <f t="shared" si="14"/>
        <v>4.3155235537683286E-4</v>
      </c>
      <c r="H98" s="7">
        <f t="shared" si="14"/>
        <v>4.9631481442087696E-3</v>
      </c>
      <c r="I98" s="7">
        <f t="shared" si="14"/>
        <v>5.9197900468126096E-3</v>
      </c>
      <c r="J98" s="7">
        <f t="shared" si="14"/>
        <v>6.8158946569599407E-3</v>
      </c>
      <c r="K98" s="7">
        <f t="shared" si="14"/>
        <v>7.242762670313185E-3</v>
      </c>
      <c r="L98" s="7">
        <f t="shared" si="14"/>
        <v>1.7346300356244741E-2</v>
      </c>
      <c r="M98" s="7">
        <f t="shared" si="14"/>
        <v>2.7650717586418211E-2</v>
      </c>
      <c r="N98" s="7">
        <f t="shared" si="14"/>
        <v>3.8162505866595441E-2</v>
      </c>
      <c r="O98" s="7">
        <f t="shared" si="14"/>
        <v>4.8888238348444656E-2</v>
      </c>
      <c r="P98" s="7">
        <f t="shared" si="14"/>
        <v>5.983457470728136E-2</v>
      </c>
      <c r="Q98" s="7">
        <f t="shared" si="14"/>
        <v>7.1008265945140744E-2</v>
      </c>
      <c r="R98" s="7">
        <f t="shared" si="14"/>
        <v>8.2416159129906977E-2</v>
      </c>
      <c r="S98" s="7">
        <f t="shared" si="14"/>
        <v>9.4065202080490712E-2</v>
      </c>
      <c r="T98" s="7">
        <f t="shared" si="14"/>
        <v>0.10596244800738062</v>
      </c>
      <c r="U98" s="7">
        <f t="shared" si="14"/>
        <v>0.11811506011729202</v>
      </c>
      <c r="V98" s="7">
        <f t="shared" si="14"/>
        <v>0.13053031619008754</v>
      </c>
      <c r="W98" s="7">
        <f t="shared" si="14"/>
        <v>0.14321561313564829</v>
      </c>
      <c r="X98" s="7">
        <f t="shared" si="14"/>
        <v>0.15617847153792402</v>
      </c>
      <c r="Y98" s="7">
        <f t="shared" si="14"/>
        <v>0.1694265401929794</v>
      </c>
      <c r="Z98" s="7">
        <f t="shared" si="14"/>
        <v>0.18296760064748491</v>
      </c>
    </row>
    <row r="99" spans="1:26" x14ac:dyDescent="0.3">
      <c r="B99">
        <v>2014</v>
      </c>
      <c r="C99">
        <v>2029</v>
      </c>
      <c r="D99" s="7" t="s">
        <v>84</v>
      </c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x14ac:dyDescent="0.3">
      <c r="A100" t="s">
        <v>91</v>
      </c>
      <c r="B100" s="9">
        <f>K57</f>
        <v>659.67231255327056</v>
      </c>
      <c r="C100" s="9">
        <f>Z57</f>
        <v>563.40446667466051</v>
      </c>
      <c r="D100" s="7">
        <f>C100/B100</f>
        <v>0.8540671723722888</v>
      </c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x14ac:dyDescent="0.3">
      <c r="A101" t="s">
        <v>85</v>
      </c>
      <c r="B101" s="15">
        <f>K97</f>
        <v>4.7778499999999999</v>
      </c>
      <c r="C101" s="15">
        <f>Z97</f>
        <v>103.0847634615385</v>
      </c>
      <c r="D101" s="7">
        <f>C101/B101</f>
        <v>21.575554582403907</v>
      </c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x14ac:dyDescent="0.3">
      <c r="A102" t="s">
        <v>86</v>
      </c>
      <c r="B102" s="15">
        <v>560</v>
      </c>
      <c r="C102" s="15">
        <v>100</v>
      </c>
      <c r="D102" s="7">
        <f>C102/B102</f>
        <v>0.17857142857142858</v>
      </c>
      <c r="E102" s="7"/>
      <c r="F102" s="7"/>
      <c r="G102" s="7"/>
      <c r="H102" s="7" t="s">
        <v>90</v>
      </c>
      <c r="I102" s="16" t="s">
        <v>87</v>
      </c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x14ac:dyDescent="0.3">
      <c r="A103" t="s">
        <v>88</v>
      </c>
      <c r="B103" s="15">
        <f>K57-K97</f>
        <v>654.89446255327061</v>
      </c>
      <c r="C103" s="15">
        <f>Z57-Z97</f>
        <v>460.31970321312201</v>
      </c>
      <c r="D103" s="7">
        <f>C103/B103</f>
        <v>0.70289142683914285</v>
      </c>
      <c r="E103" s="7"/>
      <c r="F103" s="7"/>
      <c r="G103" s="7"/>
      <c r="H103" s="7"/>
      <c r="I103" s="16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x14ac:dyDescent="0.3">
      <c r="A104" t="s">
        <v>89</v>
      </c>
      <c r="B104" s="9">
        <f>B103*1000*1000*B102/(1000*1000)</f>
        <v>366740.89902983152</v>
      </c>
      <c r="C104" s="9">
        <f>C103*1000*1000*C102/(1000*1000)</f>
        <v>46031.970321312205</v>
      </c>
      <c r="D104" s="7">
        <f>C104/B104</f>
        <v>0.12551632622127554</v>
      </c>
    </row>
    <row r="122" spans="1:5" s="6" customFormat="1" x14ac:dyDescent="0.3">
      <c r="A122" s="6" t="s">
        <v>48</v>
      </c>
    </row>
    <row r="124" spans="1:5" x14ac:dyDescent="0.3">
      <c r="A124" t="s">
        <v>60</v>
      </c>
      <c r="B124" s="4">
        <f>5/2.34</f>
        <v>2.1367521367521367</v>
      </c>
    </row>
    <row r="125" spans="1:5" x14ac:dyDescent="0.3">
      <c r="A125" t="s">
        <v>53</v>
      </c>
      <c r="B125" s="5">
        <f>B124*Z96</f>
        <v>259.13716305062468</v>
      </c>
      <c r="C125" t="s">
        <v>54</v>
      </c>
    </row>
    <row r="126" spans="1:5" x14ac:dyDescent="0.3">
      <c r="A126" t="s">
        <v>49</v>
      </c>
      <c r="B126">
        <v>570</v>
      </c>
      <c r="C126" t="s">
        <v>50</v>
      </c>
      <c r="D126" t="s">
        <v>51</v>
      </c>
      <c r="E126" s="1" t="s">
        <v>52</v>
      </c>
    </row>
    <row r="127" spans="1:5" x14ac:dyDescent="0.3">
      <c r="A127" t="s">
        <v>55</v>
      </c>
      <c r="B127" s="8">
        <f>(B125/100)/B126</f>
        <v>4.5462660184320122E-3</v>
      </c>
    </row>
    <row r="129" spans="1:5" x14ac:dyDescent="0.3">
      <c r="A129" t="s">
        <v>56</v>
      </c>
      <c r="B129">
        <v>30</v>
      </c>
    </row>
    <row r="130" spans="1:5" x14ac:dyDescent="0.3">
      <c r="A130" t="s">
        <v>57</v>
      </c>
      <c r="B130" s="12">
        <v>0.3</v>
      </c>
    </row>
    <row r="131" spans="1:5" x14ac:dyDescent="0.3">
      <c r="A131" t="s">
        <v>58</v>
      </c>
      <c r="B131">
        <f>B129*(100%-B130)</f>
        <v>21</v>
      </c>
    </row>
    <row r="132" spans="1:5" x14ac:dyDescent="0.3">
      <c r="A132" t="s">
        <v>59</v>
      </c>
      <c r="B132" s="5">
        <f>B35/B131</f>
        <v>619.04761904761904</v>
      </c>
      <c r="C132" t="s">
        <v>54</v>
      </c>
    </row>
    <row r="133" spans="1:5" x14ac:dyDescent="0.3">
      <c r="A133" t="s">
        <v>55</v>
      </c>
      <c r="B133" s="8">
        <f>(B132/100)/B126</f>
        <v>1.0860484544695072E-2</v>
      </c>
    </row>
    <row r="135" spans="1:5" x14ac:dyDescent="0.3">
      <c r="A135" t="s">
        <v>73</v>
      </c>
      <c r="B135" s="12">
        <f>B127/B133</f>
        <v>0.41860618646639369</v>
      </c>
    </row>
    <row r="137" spans="1:5" x14ac:dyDescent="0.3">
      <c r="A137" t="s">
        <v>75</v>
      </c>
      <c r="B137">
        <v>16.600000000000001</v>
      </c>
      <c r="C137" t="s">
        <v>76</v>
      </c>
      <c r="D137" t="s">
        <v>77</v>
      </c>
      <c r="E137" s="1" t="s">
        <v>78</v>
      </c>
    </row>
    <row r="138" spans="1:5" x14ac:dyDescent="0.3">
      <c r="A138" t="s">
        <v>79</v>
      </c>
      <c r="B138" s="8">
        <f>178000/62000000</f>
        <v>2.8709677419354838E-3</v>
      </c>
    </row>
    <row r="139" spans="1:5" x14ac:dyDescent="0.3">
      <c r="A139" t="s">
        <v>80</v>
      </c>
      <c r="B139" s="5">
        <f>B138*B137*1000</f>
        <v>47.658064516129038</v>
      </c>
      <c r="C139" t="s">
        <v>41</v>
      </c>
    </row>
    <row r="140" spans="1:5" x14ac:dyDescent="0.3">
      <c r="A140" t="s">
        <v>81</v>
      </c>
      <c r="B140" s="5">
        <f>Z96</f>
        <v>121.27619230769236</v>
      </c>
      <c r="C140" t="s">
        <v>41</v>
      </c>
    </row>
    <row r="141" spans="1:5" x14ac:dyDescent="0.3">
      <c r="A141" t="s">
        <v>82</v>
      </c>
      <c r="B141" s="4"/>
    </row>
    <row r="142" spans="1:5" s="6" customFormat="1" x14ac:dyDescent="0.3">
      <c r="A142" s="6" t="s">
        <v>74</v>
      </c>
    </row>
    <row r="143" spans="1:5" x14ac:dyDescent="0.3">
      <c r="A143" s="14" t="s">
        <v>61</v>
      </c>
    </row>
    <row r="144" spans="1:5" x14ac:dyDescent="0.3">
      <c r="A144" t="s">
        <v>62</v>
      </c>
      <c r="B144">
        <f>26</f>
        <v>26</v>
      </c>
      <c r="C144" t="s">
        <v>63</v>
      </c>
    </row>
    <row r="145" spans="1:4" x14ac:dyDescent="0.3">
      <c r="A145" t="s">
        <v>64</v>
      </c>
      <c r="B145" s="9">
        <f>Z52</f>
        <v>92350.666666666744</v>
      </c>
    </row>
    <row r="146" spans="1:4" x14ac:dyDescent="0.3">
      <c r="A146" t="s">
        <v>65</v>
      </c>
      <c r="B146" s="5">
        <f>B145*B144/10000</f>
        <v>240.11173333333355</v>
      </c>
      <c r="C146" t="s">
        <v>54</v>
      </c>
      <c r="D146" t="s">
        <v>66</v>
      </c>
    </row>
    <row r="147" spans="1:4" x14ac:dyDescent="0.3">
      <c r="D147" s="13" t="s">
        <v>67</v>
      </c>
    </row>
    <row r="148" spans="1:4" x14ac:dyDescent="0.3">
      <c r="A148" t="s">
        <v>68</v>
      </c>
      <c r="B148" s="5">
        <f>Z57*1000000/880</f>
        <v>640232.34849393251</v>
      </c>
      <c r="C148" t="s">
        <v>34</v>
      </c>
    </row>
    <row r="149" spans="1:4" x14ac:dyDescent="0.3">
      <c r="B149" s="5">
        <f>B148/1000</f>
        <v>640.23234849393248</v>
      </c>
      <c r="C149" t="s">
        <v>69</v>
      </c>
    </row>
    <row r="150" spans="1:4" x14ac:dyDescent="0.3">
      <c r="A150" t="s">
        <v>70</v>
      </c>
      <c r="B150" s="4">
        <f>Z96</f>
        <v>121.27619230769236</v>
      </c>
    </row>
    <row r="151" spans="1:4" x14ac:dyDescent="0.3">
      <c r="A151" t="s">
        <v>71</v>
      </c>
      <c r="B151" s="7">
        <f>B150/B149</f>
        <v>0.18942528067033729</v>
      </c>
      <c r="C151" s="13" t="s">
        <v>72</v>
      </c>
    </row>
  </sheetData>
  <hyperlinks>
    <hyperlink ref="A2" r:id="rId1"/>
    <hyperlink ref="A78" r:id="rId2"/>
    <hyperlink ref="A91" r:id="rId3"/>
    <hyperlink ref="E126" r:id="rId4"/>
    <hyperlink ref="E137" r:id="rId5"/>
    <hyperlink ref="I102" r:id="rId6"/>
  </hyperlinks>
  <pageMargins left="0.7" right="0.7" top="0.75" bottom="0.75" header="0.3" footer="0.3"/>
  <pageSetup paperSize="9" orientation="portrait" r:id="rId7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Electricity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2014-12-13T14:54:02Z</dcterms:modified>
</cp:coreProperties>
</file>